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tabRatio="969" activeTab="0"/>
  </bookViews>
  <sheets>
    <sheet name="Main Menu" sheetId="1" r:id="rId1"/>
    <sheet name="1 - Forecasting" sheetId="2" r:id="rId2"/>
    <sheet name="2 - Detail Budgets" sheetId="3" r:id="rId3"/>
    <sheet name="3 - Working Capital" sheetId="4" r:id="rId4"/>
    <sheet name="4 - Short Term Financing" sheetId="5" r:id="rId5"/>
    <sheet name="5 - Long Term Financing" sheetId="6" r:id="rId6"/>
  </sheets>
  <definedNames/>
  <calcPr fullCalcOnLoad="1"/>
</workbook>
</file>

<file path=xl/comments4.xml><?xml version="1.0" encoding="utf-8"?>
<comments xmlns="http://schemas.openxmlformats.org/spreadsheetml/2006/main">
  <authors>
    <author>Matt Evans</author>
  </authors>
  <commentList>
    <comment ref="D48" authorId="0">
      <text>
        <r>
          <rPr>
            <sz val="8"/>
            <rFont val="Tahoma"/>
            <family val="2"/>
          </rPr>
          <t>This is part of the square root formula for calculating optimal cash</t>
        </r>
      </text>
    </comment>
    <comment ref="E48" authorId="0">
      <text>
        <r>
          <rPr>
            <sz val="8"/>
            <rFont val="Tahoma"/>
            <family val="2"/>
          </rPr>
          <t>Fixed cost amount in our example</t>
        </r>
      </text>
    </comment>
    <comment ref="F48" authorId="0">
      <text>
        <r>
          <rPr>
            <sz val="8"/>
            <rFont val="Tahoma"/>
            <family val="2"/>
          </rPr>
          <t>Monthly amount needed to pay transactions throughout the month per our example</t>
        </r>
      </text>
    </comment>
    <comment ref="F49" authorId="0">
      <text>
        <r>
          <rPr>
            <sz val="8"/>
            <rFont val="Tahoma"/>
            <family val="2"/>
          </rPr>
          <t>Divide the annual interest rate by number of months in the year so that we are using a monthly rate</t>
        </r>
      </text>
    </comment>
    <comment ref="E49" authorId="0">
      <text>
        <r>
          <rPr>
            <sz val="8"/>
            <rFont val="Tahoma"/>
            <family val="2"/>
          </rPr>
          <t>Annual rate earned on cash from marketable securities, savings or other investments.</t>
        </r>
      </text>
    </comment>
  </commentList>
</comments>
</file>

<file path=xl/comments5.xml><?xml version="1.0" encoding="utf-8"?>
<comments xmlns="http://schemas.openxmlformats.org/spreadsheetml/2006/main">
  <authors>
    <author>Authorized User</author>
  </authors>
  <commentList>
    <comment ref="B10" authorId="0">
      <text>
        <r>
          <rPr>
            <sz val="8"/>
            <rFont val="Tahoma"/>
            <family val="2"/>
          </rPr>
          <t>Start by identifying your total purchase requirements</t>
        </r>
      </text>
    </comment>
    <comment ref="B11" authorId="0">
      <text>
        <r>
          <rPr>
            <sz val="8"/>
            <rFont val="Tahoma"/>
            <family val="2"/>
          </rPr>
          <t>What portion of your purchase requirements can be paid in 30 days</t>
        </r>
      </text>
    </comment>
    <comment ref="B12" authorId="0">
      <text>
        <r>
          <rPr>
            <sz val="8"/>
            <rFont val="Tahoma"/>
            <family val="2"/>
          </rPr>
          <t>What portion of your purchase requirements can be paid beyond 30 days, such as 45 days</t>
        </r>
      </text>
    </comment>
  </commentList>
</comments>
</file>

<file path=xl/comments6.xml><?xml version="1.0" encoding="utf-8"?>
<comments xmlns="http://schemas.openxmlformats.org/spreadsheetml/2006/main">
  <authors>
    <author>Matt Evans</author>
  </authors>
  <commentList>
    <comment ref="G30" authorId="0">
      <text>
        <r>
          <rPr>
            <sz val="8"/>
            <rFont val="Tahoma"/>
            <family val="2"/>
          </rPr>
          <t xml:space="preserve">Find a Present Value of an Annuity Interest Factor (PVIFA) Table and simply look up the factor. </t>
        </r>
      </text>
    </comment>
    <comment ref="G31" authorId="0">
      <text>
        <r>
          <rPr>
            <sz val="8"/>
            <rFont val="Tahoma"/>
            <family val="2"/>
          </rPr>
          <t>Instead of multiplying, now divide this factor into the loan value to arrive at the equal payments.</t>
        </r>
      </text>
    </comment>
    <comment ref="H30" authorId="0">
      <text>
        <r>
          <rPr>
            <sz val="8"/>
            <rFont val="Tahoma"/>
            <family val="2"/>
          </rPr>
          <t>You can also calculate the Present Value of an Annuity Interest Factor</t>
        </r>
      </text>
    </comment>
  </commentList>
</comments>
</file>

<file path=xl/sharedStrings.xml><?xml version="1.0" encoding="utf-8"?>
<sst xmlns="http://schemas.openxmlformats.org/spreadsheetml/2006/main" count="561" uniqueCount="425">
  <si>
    <t>Table of Contents</t>
  </si>
  <si>
    <t>Tab</t>
  </si>
  <si>
    <t>Step 1 - Determine the relationship between sales and your variables expenses. Calculate</t>
  </si>
  <si>
    <t>Forecasted Sales Revenues for Year 2010</t>
  </si>
  <si>
    <t>Variable Costs</t>
  </si>
  <si>
    <t>Fixed Costs</t>
  </si>
  <si>
    <t>Additional Investment in Facilities</t>
  </si>
  <si>
    <t>Forecasted Interest Expense</t>
  </si>
  <si>
    <t>Selling &amp; Marketing - Fixed Costs</t>
  </si>
  <si>
    <t>Selling &amp; Marketing - Variable</t>
  </si>
  <si>
    <t>General &amp; Administrative - Variable</t>
  </si>
  <si>
    <t>General &amp; Administrative - Fixed</t>
  </si>
  <si>
    <t>Forecasted Tax Expense</t>
  </si>
  <si>
    <t>Forecasted Net Income</t>
  </si>
  <si>
    <t>a forecasted Income Statement for your variable and fixed costs. For example, you</t>
  </si>
  <si>
    <t xml:space="preserve">will include all direct materials and labor into Cost of Goods Sold. Some of your </t>
  </si>
  <si>
    <t xml:space="preserve">marketing or administrative costs may be discretionary to support your sales. We </t>
  </si>
  <si>
    <t xml:space="preserve">will classify this costs as variable as it is subject to fluctuation depending upon our </t>
  </si>
  <si>
    <t>sales amount. You may also have fixed costs to support sales, such as additional</t>
  </si>
  <si>
    <t xml:space="preserve">investments in production facilities to sustain the forecasted sales. </t>
  </si>
  <si>
    <t xml:space="preserve">Step 2 - Prepare a Pro Forma or Forecasted Balance Sheet based on the percentage </t>
  </si>
  <si>
    <t>relationship to sales. For example, it takes a certain asset level to support your sales.</t>
  </si>
  <si>
    <t xml:space="preserve">For items that do not relate to sales, such as long-term debt or equity, carry forward </t>
  </si>
  <si>
    <t>projected balances from the previous period. You can compute your Retained Earnings</t>
  </si>
  <si>
    <t>by adding projected Net Income to the prior balance for Retained Earnings less any</t>
  </si>
  <si>
    <t>distributions anticipated to owners.</t>
  </si>
  <si>
    <t>Total Variable Costs</t>
  </si>
  <si>
    <t>Total Fixed Costs</t>
  </si>
  <si>
    <t>Current Assets estimated to be at 11% of Projected Sales</t>
  </si>
  <si>
    <t xml:space="preserve">Fixed Assets estimated to be at 18% of Projected Sales + $ 270,000 additional to </t>
  </si>
  <si>
    <t>be invested in fixed asset facilities as required by the Production Department</t>
  </si>
  <si>
    <t>a)</t>
  </si>
  <si>
    <t>b)</t>
  </si>
  <si>
    <t>c)</t>
  </si>
  <si>
    <t>Current Liabilities estimated to be at 9% of Sales</t>
  </si>
  <si>
    <t>d)</t>
  </si>
  <si>
    <t>Time Series Analysis of Past Sales indicates next year's sales</t>
  </si>
  <si>
    <t>will be $ 3,600,000 which also accounts for economic conditions and</t>
  </si>
  <si>
    <t>Pro Forma Income Statement - Year 2010</t>
  </si>
  <si>
    <t>No change in equity is anticipated</t>
  </si>
  <si>
    <t>e)</t>
  </si>
  <si>
    <t>Assets</t>
  </si>
  <si>
    <t>Current Assets</t>
  </si>
  <si>
    <t>Fixed Assets</t>
  </si>
  <si>
    <t>Total Assets</t>
  </si>
  <si>
    <t>Current Liabilities</t>
  </si>
  <si>
    <t>Long Term Debt</t>
  </si>
  <si>
    <t>Total Liabilities</t>
  </si>
  <si>
    <t>Liabilities</t>
  </si>
  <si>
    <t>Equity</t>
  </si>
  <si>
    <t>Capital - Owner</t>
  </si>
  <si>
    <t>Retained Earnings</t>
  </si>
  <si>
    <t>Total Equity</t>
  </si>
  <si>
    <t>Long term debt expected to increase from $ 490,000 to $ 550,000</t>
  </si>
  <si>
    <t>f)</t>
  </si>
  <si>
    <t>Total Financing Provided</t>
  </si>
  <si>
    <t>Additional Financing *</t>
  </si>
  <si>
    <t>* Additional financing is needed = Forecasted Total Assets - Forecasted Liabilities -</t>
  </si>
  <si>
    <t>Forecasted Equity. Additional financing can be raised by having the owner invest more</t>
  </si>
  <si>
    <t>funds into the business and / or issuing more debt.</t>
  </si>
  <si>
    <t>Forecasting Financial Statements</t>
  </si>
  <si>
    <t>Detail Budget Schedules</t>
  </si>
  <si>
    <t>Pro Forma Income Statement and Balance Sheet</t>
  </si>
  <si>
    <t>targets set by senior management. Once we have a good solid sales</t>
  </si>
  <si>
    <t>forecast, then build out your variable costs.</t>
  </si>
  <si>
    <t>Percentages were developed based</t>
  </si>
  <si>
    <t xml:space="preserve">on analysis of past 5 years </t>
  </si>
  <si>
    <t>Also see the EFN formula described in the course for a quicker way of determining</t>
  </si>
  <si>
    <t>your External Financing Needs (EFN).</t>
  </si>
  <si>
    <t>The Financial Plan is expressed in terms of pro-forma or forecasted financial statements. Detail</t>
  </si>
  <si>
    <t>Sales Budget for Year 2010</t>
  </si>
  <si>
    <t>Expected Sales Volume</t>
  </si>
  <si>
    <t>Expected Sales Price</t>
  </si>
  <si>
    <t>Total Sales</t>
  </si>
  <si>
    <t>Jan - Mar 2010</t>
  </si>
  <si>
    <t>Apr - Jun 2010</t>
  </si>
  <si>
    <t>Jul - Sep 2010</t>
  </si>
  <si>
    <t>Oct - Dec 2010</t>
  </si>
  <si>
    <t>Total</t>
  </si>
  <si>
    <t>Round Up</t>
  </si>
  <si>
    <t>Cash Receipts Forecast per Sales Budget</t>
  </si>
  <si>
    <t>Past history of receivables collection is:</t>
  </si>
  <si>
    <t>Collected within 90 days</t>
  </si>
  <si>
    <t>Start with your outstanding receivable balance @ January 1, 2010</t>
  </si>
  <si>
    <t>Collected in the following Quarter</t>
  </si>
  <si>
    <t>Not Collected</t>
  </si>
  <si>
    <t>1st Q Sales of $ 434,160  x .85</t>
  </si>
  <si>
    <t>Cash Receipts - 1st Quarter 2010</t>
  </si>
  <si>
    <t>1st Q Sales of $ 434,160 x .12</t>
  </si>
  <si>
    <t>2nd Q Sales of $ 601,160 x .85</t>
  </si>
  <si>
    <t>Cash Receipts - 2nd Quarter 2010</t>
  </si>
  <si>
    <t>&lt; Assume the entire balance gets collected</t>
  </si>
  <si>
    <t>2nd Q Sales of $ 601,160 x .12</t>
  </si>
  <si>
    <t>3rd Q Sales of $ 906,530 x .85</t>
  </si>
  <si>
    <t>Cash Receipts - 3rd Quarter 2010</t>
  </si>
  <si>
    <t>3rd Q Sales of $ 906,530 x .12</t>
  </si>
  <si>
    <t>4th Q Sales of $ 1,654,730 x .85</t>
  </si>
  <si>
    <t>Cash Receipts - 4th Quarter 2010</t>
  </si>
  <si>
    <t>TOTAL CASH RECEIPTS - 2010</t>
  </si>
  <si>
    <t>budgets support the Financial Plan and may include the following:</t>
  </si>
  <si>
    <t>Production Budget for Year 2010</t>
  </si>
  <si>
    <t>Planned Sales Volume</t>
  </si>
  <si>
    <t>Desired Ending Inventory</t>
  </si>
  <si>
    <t>Less Beginning Inventory</t>
  </si>
  <si>
    <t>Total Desired Units</t>
  </si>
  <si>
    <t>Units to Produce</t>
  </si>
  <si>
    <t>Direct Materials Budget for Year 2010</t>
  </si>
  <si>
    <t>Pounds per Unit</t>
  </si>
  <si>
    <t>Total Pounds Needed</t>
  </si>
  <si>
    <t>Total Direct Materials</t>
  </si>
  <si>
    <t>Estimated Purchases</t>
  </si>
  <si>
    <t>Estimated Unit Cost</t>
  </si>
  <si>
    <t>Total Purchase Cost</t>
  </si>
  <si>
    <t>Direct Labor Budget for Year 2010</t>
  </si>
  <si>
    <t>Labor Hours per Unit</t>
  </si>
  <si>
    <t>Total Estimated Hours</t>
  </si>
  <si>
    <t>Average Hourly Rate</t>
  </si>
  <si>
    <t>Total Labor Cost</t>
  </si>
  <si>
    <t>Manufacturing Overhead Budget for Year 2010</t>
  </si>
  <si>
    <t>Detail Budget Schedules (Operating Plans)</t>
  </si>
  <si>
    <t>Contents</t>
  </si>
  <si>
    <t>Indirect Materials Costs (such as shipping, storage, inventory control, etc.)</t>
  </si>
  <si>
    <t>Indirect Labor Costs (such as supervisory labor, quality inspectors, etc.)</t>
  </si>
  <si>
    <t>Budgeted Manufacturing Overhead for Year 2010:</t>
  </si>
  <si>
    <t>Total Variable Overhead</t>
  </si>
  <si>
    <t>Rent, Utilities, Insurance</t>
  </si>
  <si>
    <t>Maintenance and Upgrades to Equipment</t>
  </si>
  <si>
    <t>Depreciation of Equipment</t>
  </si>
  <si>
    <t>Total Fixed Overhead</t>
  </si>
  <si>
    <t>Total Budgeted Overhead</t>
  </si>
  <si>
    <t>Total Forecasted Materials Cost</t>
  </si>
  <si>
    <t>Total Forecasted Labor Cost</t>
  </si>
  <si>
    <t>Total Forecasted Overhead Cost</t>
  </si>
  <si>
    <t>Total Forecasted Production Cost</t>
  </si>
  <si>
    <t xml:space="preserve"> </t>
  </si>
  <si>
    <t>Existing balance in Retained Earnings is $ 85,900 less $ 65,000 expected distributions</t>
  </si>
  <si>
    <t>Cost of Goods Sold - Variable</t>
  </si>
  <si>
    <t>Allocation of Overhead based on a variable rate of $ xx per Direct Labor Hour + $ xx fixed overhead per quarter:</t>
  </si>
  <si>
    <t>Direct Labor Hours</t>
  </si>
  <si>
    <t>Variable OH Rate</t>
  </si>
  <si>
    <t>Hours</t>
  </si>
  <si>
    <t>Rate</t>
  </si>
  <si>
    <t>Quarterly Variable OH</t>
  </si>
  <si>
    <t>Fixed Overhead</t>
  </si>
  <si>
    <t>Total Overhead</t>
  </si>
  <si>
    <t>Working Capital Calculations</t>
  </si>
  <si>
    <t>1. Determine if it is beneficial to implement a Lock Box account for collection of customer payments:</t>
  </si>
  <si>
    <t>Sales and Administrative Budget</t>
  </si>
  <si>
    <t>Forecasted Sales</t>
  </si>
  <si>
    <t xml:space="preserve">Variable Selling </t>
  </si>
  <si>
    <t>Variable Adminstrative</t>
  </si>
  <si>
    <t>Fixed Selling</t>
  </si>
  <si>
    <t>Fixed Administrative</t>
  </si>
  <si>
    <t xml:space="preserve">Total </t>
  </si>
  <si>
    <t>Average daily cash collections are $ 200,000 with an annual rate of return on cash of 7%.</t>
  </si>
  <si>
    <t>Float time with cash collections will get reduced by 3 days with the use of a lock box account.</t>
  </si>
  <si>
    <t>Cost Benefit Analysis of Lock Box Account</t>
  </si>
  <si>
    <t>1. Benefit = Increased return on earlier collection of cash</t>
  </si>
  <si>
    <t>Days</t>
  </si>
  <si>
    <t>Amt</t>
  </si>
  <si>
    <t>Annual costs of a lock box account is $ 35,000</t>
  </si>
  <si>
    <t>2. Cost = Annual amount paid for lock box</t>
  </si>
  <si>
    <t>Net Benefit or (Cost)</t>
  </si>
  <si>
    <t>Value</t>
  </si>
  <si>
    <t>2. Calculate the opportunity costs of not taking a discount when terms are 2%/ 15 net 30 days</t>
  </si>
  <si>
    <t>Formula = (discount / 100 - discount) x (360 / net days)</t>
  </si>
  <si>
    <t>3. Calculate optimal cash for transactions under certain conditions</t>
  </si>
  <si>
    <t>(F x T) / Q</t>
  </si>
  <si>
    <t>+ (IR x Q) / 2</t>
  </si>
  <si>
    <t>F: Fixed costs of processing cash transactions</t>
  </si>
  <si>
    <t>T: Total cash requirements for the period</t>
  </si>
  <si>
    <t>Q: Savings or Marketable Securities sold each time cash is needed</t>
  </si>
  <si>
    <t>IR: Interest Rate earned on savings or marketable securities</t>
  </si>
  <si>
    <t>Costs</t>
  </si>
  <si>
    <t>Optimal cash = Square Root of 2FT / IR</t>
  </si>
  <si>
    <t>Each month we need approximately $ 5,000 of cash to cover our transactions</t>
  </si>
  <si>
    <t>Optimal Cash Size</t>
  </si>
  <si>
    <t>Average Cash Balance = Q / 2</t>
  </si>
  <si>
    <t>Working Capital Management requires that you manage each component of your working capital, such</t>
  </si>
  <si>
    <t>Managing Cash</t>
  </si>
  <si>
    <t>Managing Accounts Receivable</t>
  </si>
  <si>
    <t>Average Cash Balance</t>
  </si>
  <si>
    <t>Interest Rate is 8% and the costs of transactions is $ 100 during the month</t>
  </si>
  <si>
    <t>1. How many times do we turn over our receivables within one year?</t>
  </si>
  <si>
    <t>If overall days to collect receivables is 60 days, then:</t>
  </si>
  <si>
    <t>Days in</t>
  </si>
  <si>
    <t>Bank Year</t>
  </si>
  <si>
    <t>Overall</t>
  </si>
  <si>
    <t>Collection</t>
  </si>
  <si>
    <t>Turnover</t>
  </si>
  <si>
    <t>If total credit sales for the year are $ 600,000, then the average receivable balance is:</t>
  </si>
  <si>
    <t>Credit Sales</t>
  </si>
  <si>
    <t>Avg A/R</t>
  </si>
  <si>
    <t>If the average accounts receivable balance is $ 100,000 and the average per unit</t>
  </si>
  <si>
    <t>cost to make, ship, store, distribute and sell the product is $ .55 of every sales dollar:</t>
  </si>
  <si>
    <t>If the average receivable balance is not collected within 30 days, but 60 days, then you</t>
  </si>
  <si>
    <t>would double the investment since funds are tied up much longer:</t>
  </si>
  <si>
    <t xml:space="preserve">Average Monthly Receivable </t>
  </si>
  <si>
    <t>60 Days (not 30) to collect, twice as long</t>
  </si>
  <si>
    <t>Company's Investment in each Sales Dollar</t>
  </si>
  <si>
    <t>Amount Company has invested or tied up in A/R</t>
  </si>
  <si>
    <t>2. How much money does the company have tied up or invested within receivables or A/R?</t>
  </si>
  <si>
    <t>3. Cost Benefit Analysis of Extending Discount to Customers</t>
  </si>
  <si>
    <t>Annual Credit Sales</t>
  </si>
  <si>
    <t>Collection Period</t>
  </si>
  <si>
    <t>days</t>
  </si>
  <si>
    <t>Current Collection Terms</t>
  </si>
  <si>
    <t>net 30 days</t>
  </si>
  <si>
    <t>Average Receivable Balance</t>
  </si>
  <si>
    <t>Amount Company has invested / tied up in A/R</t>
  </si>
  <si>
    <t>Average Accounts Receivable</t>
  </si>
  <si>
    <t>If terms are changed to 2% / 15 days, net 30 then 30% of the sales will get collected in</t>
  </si>
  <si>
    <t>15 days as opposed to the current 60 days. This reduction in receivables can get invested</t>
  </si>
  <si>
    <t>with a rate of return of 6%.</t>
  </si>
  <si>
    <t>Reduction in Accounts Receivable</t>
  </si>
  <si>
    <t>Benefit of New Terms</t>
  </si>
  <si>
    <t>Rate of Return</t>
  </si>
  <si>
    <t>Cost of offering 2% discount taken by 30%</t>
  </si>
  <si>
    <t>Cost to Company</t>
  </si>
  <si>
    <t>Discount Offered</t>
  </si>
  <si>
    <t>Pro Forma Balance Sheet - Year 2010</t>
  </si>
  <si>
    <t>It is not beneficial for the company to extend the new discount terms</t>
  </si>
  <si>
    <t>The company will incur additional costs of approximately $ 8,400</t>
  </si>
  <si>
    <t>Inventory Management</t>
  </si>
  <si>
    <t>1. Optimal order quantity that takes into account the trade-off between Ordering Costs vs. Holding Costs:</t>
  </si>
  <si>
    <t>Annual demand (D)</t>
  </si>
  <si>
    <t>Ordering Costs (S)</t>
  </si>
  <si>
    <t>Total Inventory Costs (C)</t>
  </si>
  <si>
    <t>Holding Costs (H)</t>
  </si>
  <si>
    <t>Economic Order Quantity</t>
  </si>
  <si>
    <t>Constant in EOQ formula</t>
  </si>
  <si>
    <t>average units for the year</t>
  </si>
  <si>
    <t>(35% of total inventory costs)</t>
  </si>
  <si>
    <t>Normal ordering lots are 200, 250, etc. from our key suppliers in the supply chain. So we</t>
  </si>
  <si>
    <t>would go with a standard order size of 200 units.</t>
  </si>
  <si>
    <t>2. Number of Orders = D / Q</t>
  </si>
  <si>
    <t>3. Ordering Costs = S x (D / Q)</t>
  </si>
  <si>
    <t>4. Average Inventory in Units = Q / 2</t>
  </si>
  <si>
    <t>5. Holding or Carrying Costs = (Q / 2) x H</t>
  </si>
  <si>
    <t>6. Total Cost = Order Cost + Holding Cost</t>
  </si>
  <si>
    <t>Short Term Financing</t>
  </si>
  <si>
    <t>Working Capital Management</t>
  </si>
  <si>
    <t>Workbook for Fundamentals of Corporate Finance - Part 1</t>
  </si>
  <si>
    <t>1. Trade Credit through Accounts Payable</t>
  </si>
  <si>
    <t>Estimated average supplies &amp; materials needed each production day</t>
  </si>
  <si>
    <t>Total Trade Credit or Accounts Payable</t>
  </si>
  <si>
    <t>Trade credit terms for 65% of the daily need are net 30 days</t>
  </si>
  <si>
    <t>Trade credit terms for 35% of the daily need are net 45 days</t>
  </si>
  <si>
    <t>Float</t>
  </si>
  <si>
    <t>Time</t>
  </si>
  <si>
    <t>Payment</t>
  </si>
  <si>
    <t>Interest Rate</t>
  </si>
  <si>
    <t>Loan face value</t>
  </si>
  <si>
    <t>Processing Fees</t>
  </si>
  <si>
    <t>Maturity Days</t>
  </si>
  <si>
    <t>Days in Year</t>
  </si>
  <si>
    <t>Interest</t>
  </si>
  <si>
    <t>Fees</t>
  </si>
  <si>
    <t>Funds</t>
  </si>
  <si>
    <t>Annual</t>
  </si>
  <si>
    <t>Loan</t>
  </si>
  <si>
    <t>AFC =</t>
  </si>
  <si>
    <t>Interest Cost</t>
  </si>
  <si>
    <t>Loan Duration</t>
  </si>
  <si>
    <t>2. Annual Financing Rate of Loan</t>
  </si>
  <si>
    <t>Cash, Accounts Receivable, and Inventory. Some important calculations are described below:</t>
  </si>
  <si>
    <t xml:space="preserve">It is sometimes necessary to finance short-term operations (less than one year) due to unexpected fluctuations or changes in the </t>
  </si>
  <si>
    <t xml:space="preserve">company's working capital position. Some important sources of short term financing are listed below with related calculations: </t>
  </si>
  <si>
    <t>&lt; - The effective rate you pay on an annualized basis is much higher than the stated rate of 16%</t>
  </si>
  <si>
    <t>3. Annual Financing Cost on Bank Loan with Compensating Balance</t>
  </si>
  <si>
    <t>4. Annual Financing Cost on Discounted Bank Loan (Interest is paid in advance)</t>
  </si>
  <si>
    <t>Compensating Balance Requirement is</t>
  </si>
  <si>
    <t>&lt; - The effective rate will go up if your usable funds goes downs due to a compensating balance requirement</t>
  </si>
  <si>
    <t>Loan Amount</t>
  </si>
  <si>
    <t>years</t>
  </si>
  <si>
    <t>Annual Interest Rate</t>
  </si>
  <si>
    <t>Number of Periods in 1 Year</t>
  </si>
  <si>
    <t>Total Monthly Periods in Loan</t>
  </si>
  <si>
    <t>Number</t>
  </si>
  <si>
    <t>Principal</t>
  </si>
  <si>
    <t>Beginning</t>
  </si>
  <si>
    <t>Balance</t>
  </si>
  <si>
    <t>Ending</t>
  </si>
  <si>
    <t>Total Interest Paid</t>
  </si>
  <si>
    <t>Annual Financing Cost = ((Interest + Fees) / Usable Funds) x (360 Days / Loan Maturity in Days)</t>
  </si>
  <si>
    <t>(monthly payments)</t>
  </si>
  <si>
    <t>Payments are Due</t>
  </si>
  <si>
    <t>End of Month</t>
  </si>
  <si>
    <t>&lt; The effective rate also goes up if usable funds are reduced by paying interest in advance</t>
  </si>
  <si>
    <t>Funds provided / borrowed against A/R</t>
  </si>
  <si>
    <t>Annual interest rate charge</t>
  </si>
  <si>
    <t>Factoring Fee</t>
  </si>
  <si>
    <t>Interest Charge</t>
  </si>
  <si>
    <t>Total Cost</t>
  </si>
  <si>
    <t>Total pledged receivables that can be used as collateral</t>
  </si>
  <si>
    <t>Processing fee on pledged receivables</t>
  </si>
  <si>
    <t>Average Collection for A/R</t>
  </si>
  <si>
    <t>Interest Charge (pro rated)</t>
  </si>
  <si>
    <t>Annual Financing Costs</t>
  </si>
  <si>
    <t>Average receivable balance to be sold / factored</t>
  </si>
  <si>
    <t>Processing fee on receivables sold / factored</t>
  </si>
  <si>
    <t>Processing Fee</t>
  </si>
  <si>
    <t>Financing period</t>
  </si>
  <si>
    <t>Intermediate and Long Term Financing</t>
  </si>
  <si>
    <t>Intermediate and long-term financing extend over several years. Some important calculations are illustrated below:</t>
  </si>
  <si>
    <t>5. Annual Cost Receivable Financing (Pledged A/R)</t>
  </si>
  <si>
    <t>6. Annual Cost Receivable Financing (Factored A/R)</t>
  </si>
  <si>
    <t>1. Calculate payments for a short term loan</t>
  </si>
  <si>
    <t>Number of Years</t>
  </si>
  <si>
    <t>a) If payments are annual at year end:</t>
  </si>
  <si>
    <t>Calculate the Annuity Discount Factor</t>
  </si>
  <si>
    <t>Annual Equal Payments</t>
  </si>
  <si>
    <t>b) If payments are monthly:</t>
  </si>
  <si>
    <t>Monthly Equal Payments</t>
  </si>
  <si>
    <t xml:space="preserve">Convert Annual Interest Rate to Monthly </t>
  </si>
  <si>
    <t>Convert Annual Period to Monthly</t>
  </si>
  <si>
    <t>Number of Payments</t>
  </si>
  <si>
    <t>Total Amount Paid</t>
  </si>
  <si>
    <t>Total Financing Costs</t>
  </si>
  <si>
    <t>If we assume payments are equal each time, then you can calculate an annuity discount factor.</t>
  </si>
  <si>
    <t>If you borrowed $ 10,000 at 10% and the loan was 20 years, then you would pay $ 1,174.59 every year:</t>
  </si>
  <si>
    <r>
      <t xml:space="preserve">PVIFA </t>
    </r>
    <r>
      <rPr>
        <vertAlign val="subscript"/>
        <sz val="14"/>
        <rFont val="Times New Roman"/>
        <family val="1"/>
      </rPr>
      <t>i</t>
    </r>
    <r>
      <rPr>
        <sz val="14"/>
        <rFont val="Times New Roman"/>
        <family val="1"/>
      </rPr>
      <t>,</t>
    </r>
    <r>
      <rPr>
        <vertAlign val="subscript"/>
        <sz val="14"/>
        <rFont val="Times New Roman"/>
        <family val="1"/>
      </rPr>
      <t xml:space="preserve">n </t>
    </r>
    <r>
      <rPr>
        <sz val="14"/>
        <rFont val="Times New Roman"/>
        <family val="1"/>
      </rPr>
      <t xml:space="preserve">= </t>
    </r>
    <r>
      <rPr>
        <u val="single"/>
        <sz val="14"/>
        <rFont val="Times New Roman"/>
        <family val="1"/>
      </rPr>
      <t>1-[1/(1+i)</t>
    </r>
    <r>
      <rPr>
        <u val="single"/>
        <vertAlign val="superscript"/>
        <sz val="14"/>
        <rFont val="Times New Roman"/>
        <family val="1"/>
      </rPr>
      <t>n</t>
    </r>
    <r>
      <rPr>
        <u val="single"/>
        <sz val="14"/>
        <rFont val="Times New Roman"/>
        <family val="1"/>
      </rPr>
      <t>]</t>
    </r>
  </si>
  <si>
    <t xml:space="preserve">                           i</t>
  </si>
  <si>
    <t>Let's work through a simple example by using the PVIFA formula (Present Value of an Annuity Interest Factor):</t>
  </si>
  <si>
    <t>2. Calculate the loan amount given desired fixed payments</t>
  </si>
  <si>
    <t>Fixed loan payment amount</t>
  </si>
  <si>
    <t>Total number of payments to be made</t>
  </si>
  <si>
    <t>Calculate PVIFA</t>
  </si>
  <si>
    <t xml:space="preserve">Amount of Loan </t>
  </si>
  <si>
    <t>(annual year end payments)</t>
  </si>
  <si>
    <t>Loan payment amount</t>
  </si>
  <si>
    <t>(monthly over 5 year term loan)</t>
  </si>
  <si>
    <t>Monthly Interest Rate</t>
  </si>
  <si>
    <t>Amount of Loan</t>
  </si>
  <si>
    <t>periodic equal installments. An amortization schedule is used to schedule the payments:</t>
  </si>
  <si>
    <t>3. Lease Payments</t>
  </si>
  <si>
    <t>Value of Leased Machinery &amp; Equipment</t>
  </si>
  <si>
    <t>Number of Annual Payments</t>
  </si>
  <si>
    <t>Annual Lease Payments</t>
  </si>
  <si>
    <t>4. Loan Amortization Schedule - Long Term Debt such as Bonds or Mortgages are paid in</t>
  </si>
  <si>
    <t>Long Term Financing</t>
  </si>
  <si>
    <t>5. Paying Points on a Mortgage Loan</t>
  </si>
  <si>
    <t>Mortgage Loan Amount</t>
  </si>
  <si>
    <t xml:space="preserve">Cost of 1 Point </t>
  </si>
  <si>
    <t>Benefit of 1 Point</t>
  </si>
  <si>
    <t>Payback Period in Years</t>
  </si>
  <si>
    <t>If you plan on owning the property well beyond 4 years, then it may be beneficial to pay the points</t>
  </si>
  <si>
    <t>If you plan on selling the property within four years, do not pay the points</t>
  </si>
  <si>
    <t>Workbook for Fundamentals of Business Finance - Part 1</t>
  </si>
  <si>
    <t>7. Re Order Levels with Variable Demand or Usage</t>
  </si>
  <si>
    <r>
      <t>RL</t>
    </r>
    <r>
      <rPr>
        <sz val="10"/>
        <rFont val="Arial"/>
        <family val="0"/>
      </rPr>
      <t>: Reorder Level</t>
    </r>
  </si>
  <si>
    <r>
      <t>avg-d</t>
    </r>
    <r>
      <rPr>
        <sz val="10"/>
        <rFont val="Arial"/>
        <family val="0"/>
      </rPr>
      <t>: average daily usage or demand of inventory</t>
    </r>
  </si>
  <si>
    <r>
      <t>z</t>
    </r>
    <r>
      <rPr>
        <sz val="10"/>
        <rFont val="Arial"/>
        <family val="0"/>
      </rPr>
      <t>: number of standard deviations related to desired service level probability</t>
    </r>
  </si>
  <si>
    <t>Example:</t>
  </si>
  <si>
    <t>Units</t>
  </si>
  <si>
    <t>Day</t>
  </si>
  <si>
    <t>avg-d</t>
  </si>
  <si>
    <r>
      <t>sd</t>
    </r>
    <r>
      <rPr>
        <sz val="10"/>
        <rFont val="Arial"/>
        <family val="0"/>
      </rPr>
      <t>: standard deviation of d values in your sample</t>
    </r>
  </si>
  <si>
    <t>RL = (avg-d x L) + ( z x (sd of d values) x (square root of L) )</t>
  </si>
  <si>
    <t>out of stock probability</t>
  </si>
  <si>
    <t>Describes the spread or distribution of values</t>
  </si>
  <si>
    <t>z</t>
  </si>
  <si>
    <t>a. Demand has varied for the last 30 days as followings</t>
  </si>
  <si>
    <t>b. Desired service ability is 95% vs. 5% probability of stock out (inability to service)</t>
  </si>
  <si>
    <t>Number of Standard Deviations or z</t>
  </si>
  <si>
    <t>standard deviation (sd)</t>
  </si>
  <si>
    <t>average d (avg-d)</t>
  </si>
  <si>
    <t>Describes the multiple to meet different percentages of service probability</t>
  </si>
  <si>
    <t xml:space="preserve">c. Determine your lead time - amount of time from when you determine you need to re-order to the time </t>
  </si>
  <si>
    <t>Average Supplier Lead Time</t>
  </si>
  <si>
    <t>Average Purchase Processing Time</t>
  </si>
  <si>
    <t>Delivery Time</t>
  </si>
  <si>
    <t>Receiving and Stocking Time</t>
  </si>
  <si>
    <t>Total Lead Time (L)</t>
  </si>
  <si>
    <t>when the inventory is on hand and available for usage:</t>
  </si>
  <si>
    <t>d. Calculate your re-order level:</t>
  </si>
  <si>
    <t>L</t>
  </si>
  <si>
    <t>Stand Dev of d</t>
  </si>
  <si>
    <t>Square Root of L</t>
  </si>
  <si>
    <t>Safety Stock Addition</t>
  </si>
  <si>
    <t>re-order to service at this level</t>
  </si>
  <si>
    <t>Re-Order Level no safety stock</t>
  </si>
  <si>
    <t>Low</t>
  </si>
  <si>
    <t>High</t>
  </si>
  <si>
    <t>RL: Total Re-Order Level</t>
  </si>
  <si>
    <t>8. ABC Inventory Analysis</t>
  </si>
  <si>
    <t>a. Calculate usage and values for the entire inventory by SKU - Stock Keeping Unit</t>
  </si>
  <si>
    <t>SKU</t>
  </si>
  <si>
    <t>Unit Cost</t>
  </si>
  <si>
    <t>Usage</t>
  </si>
  <si>
    <t>345-22</t>
  </si>
  <si>
    <t>264-12</t>
  </si>
  <si>
    <t>387-21</t>
  </si>
  <si>
    <t>294-32</t>
  </si>
  <si>
    <t>318-26</t>
  </si>
  <si>
    <t>224-19</t>
  </si>
  <si>
    <t>283-29</t>
  </si>
  <si>
    <t>275-16</t>
  </si>
  <si>
    <t>311-25</t>
  </si>
  <si>
    <t>263-11</t>
  </si>
  <si>
    <t>395-23</t>
  </si>
  <si>
    <t>277-17</t>
  </si>
  <si>
    <t xml:space="preserve">% of </t>
  </si>
  <si>
    <t>Cumulative</t>
  </si>
  <si>
    <t>Percent</t>
  </si>
  <si>
    <t>b. Sort the inventory by Value, calculate a percentage of value and classify into 3 groups</t>
  </si>
  <si>
    <t>Group</t>
  </si>
  <si>
    <t>A</t>
  </si>
  <si>
    <t>B</t>
  </si>
  <si>
    <t>C</t>
  </si>
  <si>
    <t>Group A</t>
  </si>
  <si>
    <t>Group B</t>
  </si>
  <si>
    <t>Group C</t>
  </si>
  <si>
    <t>Total Value</t>
  </si>
  <si>
    <t>6. Cost of Equity (Common Stock) - Capital Asset Pricing Model</t>
  </si>
  <si>
    <t>r is the expected return rate on common stock;</t>
  </si>
  <si>
    <t>beta is a factor used to measure the volatility of the company’s stock in relation to the marketplace.</t>
  </si>
  <si>
    <r>
      <t>r   =   R</t>
    </r>
    <r>
      <rPr>
        <vertAlign val="subscript"/>
        <sz val="10"/>
        <rFont val="Arial"/>
        <family val="2"/>
      </rPr>
      <t>f</t>
    </r>
    <r>
      <rPr>
        <sz val="10"/>
        <rFont val="Arial"/>
        <family val="2"/>
      </rPr>
      <t xml:space="preserve">   +   beta x ( K</t>
    </r>
    <r>
      <rPr>
        <vertAlign val="subscript"/>
        <sz val="10"/>
        <rFont val="Arial"/>
        <family val="2"/>
      </rPr>
      <t>m</t>
    </r>
    <r>
      <rPr>
        <sz val="10"/>
        <rFont val="Arial"/>
        <family val="2"/>
      </rPr>
      <t xml:space="preserve"> - R</t>
    </r>
    <r>
      <rPr>
        <vertAlign val="subscript"/>
        <sz val="10"/>
        <rFont val="Arial"/>
        <family val="2"/>
      </rPr>
      <t>f</t>
    </r>
    <r>
      <rPr>
        <sz val="10"/>
        <rFont val="Arial"/>
        <family val="2"/>
      </rPr>
      <t xml:space="preserve"> )</t>
    </r>
  </si>
  <si>
    <r>
      <t>R</t>
    </r>
    <r>
      <rPr>
        <vertAlign val="subscript"/>
        <sz val="10"/>
        <rFont val="Arial"/>
        <family val="2"/>
      </rPr>
      <t>f</t>
    </r>
    <r>
      <rPr>
        <sz val="10"/>
        <rFont val="Arial"/>
        <family val="2"/>
      </rPr>
      <t xml:space="preserve"> is the rate of a "risk-free" investment, i.e. cash;</t>
    </r>
  </si>
  <si>
    <r>
      <t>K</t>
    </r>
    <r>
      <rPr>
        <vertAlign val="subscript"/>
        <sz val="10"/>
        <rFont val="Arial"/>
        <family val="2"/>
      </rPr>
      <t>m</t>
    </r>
    <r>
      <rPr>
        <sz val="10"/>
        <rFont val="Arial"/>
        <family val="2"/>
      </rPr>
      <t xml:space="preserve"> is the return rate of the appropriate asset class.</t>
    </r>
  </si>
  <si>
    <t>Risk Free Rate is based on short term government securities (U.S. Treasury)</t>
  </si>
  <si>
    <t>Published beta factor for publicly traded companies - industry specific</t>
  </si>
  <si>
    <t>Average overall return for stocks that comprise the Standard &amp; Poor's 500</t>
  </si>
  <si>
    <t>Expected Rate of Return</t>
  </si>
  <si>
    <t>This workbook is used in conjunction with a course that is subject to copyright protection. You may print, download and use this workbook for your own personal use in conjunction with this course. You may not reproduce or redistribute this workbook without first obtaining the express permission of the author: 
Matt H. Evans, CPA, CMA, CFM
Email: matt@exinfm.com
Phone: 1-877-807-8756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</si>
</sst>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_(&quot;$&quot;* #,##0.00000_);_(&quot;$&quot;* \(#,##0.00000\);_(&quot;$&quot;* &quot;-&quot;?????_);_(@_)"/>
    <numFmt numFmtId="170" formatCode="0.000"/>
    <numFmt numFmtId="171" formatCode="0.0000"/>
    <numFmt numFmtId="172" formatCode="_(&quot;$&quot;* #,##0.000_);_(&quot;$&quot;* \(#,##0.000\);_(&quot;$&quot;* &quot;-&quot;???_);_(@_)"/>
  </numFmts>
  <fonts count="20">
    <font>
      <sz val="10"/>
      <name val="Arial"/>
      <family val="0"/>
    </font>
    <font>
      <b/>
      <sz val="12"/>
      <name val="Arial"/>
      <family val="2"/>
    </font>
    <font>
      <b/>
      <u val="single"/>
      <sz val="10"/>
      <name val="Arial"/>
      <family val="2"/>
    </font>
    <font>
      <sz val="8"/>
      <name val="Arial"/>
      <family val="0"/>
    </font>
    <font>
      <b/>
      <sz val="10"/>
      <name val="Arial"/>
      <family val="2"/>
    </font>
    <font>
      <u val="single"/>
      <sz val="10"/>
      <name val="Arial"/>
      <family val="0"/>
    </font>
    <font>
      <b/>
      <i/>
      <sz val="10"/>
      <name val="Arial"/>
      <family val="2"/>
    </font>
    <font>
      <sz val="8"/>
      <name val="Tahoma"/>
      <family val="2"/>
    </font>
    <font>
      <u val="single"/>
      <sz val="10"/>
      <color indexed="12"/>
      <name val="Arial"/>
      <family val="0"/>
    </font>
    <font>
      <u val="single"/>
      <sz val="10"/>
      <color indexed="36"/>
      <name val="Arial"/>
      <family val="0"/>
    </font>
    <font>
      <i/>
      <sz val="10"/>
      <name val="Arial"/>
      <family val="2"/>
    </font>
    <font>
      <sz val="12"/>
      <name val="Times New Roman"/>
      <family val="1"/>
    </font>
    <font>
      <u val="single"/>
      <sz val="12"/>
      <name val="Times New Roman"/>
      <family val="1"/>
    </font>
    <font>
      <sz val="7.5"/>
      <name val="Arial"/>
      <family val="2"/>
    </font>
    <font>
      <sz val="14"/>
      <name val="Times New Roman"/>
      <family val="1"/>
    </font>
    <font>
      <vertAlign val="subscript"/>
      <sz val="14"/>
      <name val="Times New Roman"/>
      <family val="1"/>
    </font>
    <font>
      <u val="single"/>
      <sz val="14"/>
      <name val="Times New Roman"/>
      <family val="1"/>
    </font>
    <font>
      <u val="single"/>
      <vertAlign val="superscript"/>
      <sz val="14"/>
      <name val="Times New Roman"/>
      <family val="1"/>
    </font>
    <font>
      <b/>
      <sz val="8"/>
      <name val="Arial"/>
      <family val="0"/>
    </font>
    <font>
      <vertAlign val="subscript"/>
      <sz val="10"/>
      <name val="Arial"/>
      <family val="2"/>
    </font>
  </fonts>
  <fills count="3">
    <fill>
      <patternFill/>
    </fill>
    <fill>
      <patternFill patternType="gray125"/>
    </fill>
    <fill>
      <patternFill patternType="solid">
        <fgColor indexed="22"/>
        <bgColor indexed="64"/>
      </patternFill>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2" borderId="0" xfId="0" applyFill="1" applyAlignment="1">
      <alignment/>
    </xf>
    <xf numFmtId="0" fontId="1" fillId="2" borderId="0" xfId="0" applyFont="1" applyFill="1" applyAlignment="1">
      <alignment/>
    </xf>
    <xf numFmtId="0" fontId="2" fillId="0" borderId="0" xfId="0" applyFont="1" applyAlignment="1">
      <alignment horizontal="center"/>
    </xf>
    <xf numFmtId="0" fontId="0" fillId="0" borderId="0" xfId="0" applyAlignment="1">
      <alignment horizontal="center"/>
    </xf>
    <xf numFmtId="42" fontId="0" fillId="0" borderId="0" xfId="0" applyNumberFormat="1" applyAlignment="1">
      <alignment/>
    </xf>
    <xf numFmtId="0" fontId="4" fillId="0" borderId="0" xfId="0" applyFont="1" applyAlignment="1">
      <alignment/>
    </xf>
    <xf numFmtId="42" fontId="4" fillId="0" borderId="0" xfId="0" applyNumberFormat="1" applyFont="1" applyAlignment="1">
      <alignment/>
    </xf>
    <xf numFmtId="0" fontId="0" fillId="0" borderId="0" xfId="0" applyAlignment="1">
      <alignment horizontal="right"/>
    </xf>
    <xf numFmtId="0" fontId="1" fillId="0" borderId="0" xfId="0" applyFont="1" applyAlignment="1">
      <alignment/>
    </xf>
    <xf numFmtId="9" fontId="0" fillId="0" borderId="0" xfId="0" applyNumberFormat="1" applyAlignment="1">
      <alignment/>
    </xf>
    <xf numFmtId="0" fontId="5" fillId="0" borderId="0" xfId="0" applyFont="1" applyAlignment="1">
      <alignment horizontal="center"/>
    </xf>
    <xf numFmtId="3" fontId="0" fillId="0" borderId="0" xfId="0" applyNumberFormat="1" applyAlignment="1">
      <alignment/>
    </xf>
    <xf numFmtId="44" fontId="0" fillId="0" borderId="0" xfId="0" applyNumberFormat="1" applyAlignment="1">
      <alignment/>
    </xf>
    <xf numFmtId="42" fontId="0" fillId="0" borderId="1" xfId="0" applyNumberFormat="1" applyBorder="1" applyAlignment="1">
      <alignment/>
    </xf>
    <xf numFmtId="3" fontId="0" fillId="0" borderId="1" xfId="0" applyNumberFormat="1" applyBorder="1" applyAlignment="1">
      <alignment/>
    </xf>
    <xf numFmtId="2" fontId="0" fillId="0" borderId="0" xfId="0" applyNumberFormat="1" applyAlignment="1">
      <alignment/>
    </xf>
    <xf numFmtId="0" fontId="0" fillId="0" borderId="1" xfId="0" applyBorder="1" applyAlignment="1">
      <alignment/>
    </xf>
    <xf numFmtId="44" fontId="0" fillId="0" borderId="1" xfId="0" applyNumberFormat="1" applyBorder="1" applyAlignment="1">
      <alignment/>
    </xf>
    <xf numFmtId="0" fontId="5" fillId="0" borderId="0" xfId="0" applyFont="1" applyAlignment="1">
      <alignment/>
    </xf>
    <xf numFmtId="0" fontId="6" fillId="0" borderId="2" xfId="0" applyFont="1" applyBorder="1" applyAlignment="1">
      <alignment/>
    </xf>
    <xf numFmtId="0" fontId="6" fillId="0" borderId="3" xfId="0" applyFont="1" applyBorder="1" applyAlignment="1">
      <alignment/>
    </xf>
    <xf numFmtId="42" fontId="4" fillId="0" borderId="4" xfId="0" applyNumberFormat="1" applyFont="1" applyBorder="1" applyAlignment="1">
      <alignment/>
    </xf>
    <xf numFmtId="0" fontId="6" fillId="0" borderId="5" xfId="0" applyFont="1" applyBorder="1" applyAlignment="1">
      <alignment/>
    </xf>
    <xf numFmtId="0" fontId="6" fillId="0" borderId="0" xfId="0" applyFont="1" applyBorder="1" applyAlignment="1">
      <alignment/>
    </xf>
    <xf numFmtId="42" fontId="4" fillId="0" borderId="6" xfId="0" applyNumberFormat="1" applyFont="1" applyBorder="1" applyAlignment="1">
      <alignment/>
    </xf>
    <xf numFmtId="0" fontId="6" fillId="0" borderId="7" xfId="0" applyFont="1" applyBorder="1" applyAlignment="1">
      <alignment/>
    </xf>
    <xf numFmtId="0" fontId="6" fillId="0" borderId="1" xfId="0" applyFont="1" applyBorder="1" applyAlignment="1">
      <alignment/>
    </xf>
    <xf numFmtId="42" fontId="4" fillId="0" borderId="8" xfId="0" applyNumberFormat="1" applyFont="1" applyBorder="1" applyAlignment="1">
      <alignment/>
    </xf>
    <xf numFmtId="42" fontId="0" fillId="0" borderId="0" xfId="17" applyNumberFormat="1" applyAlignment="1">
      <alignment/>
    </xf>
    <xf numFmtId="10" fontId="0" fillId="0" borderId="0" xfId="0" applyNumberFormat="1" applyAlignment="1">
      <alignment/>
    </xf>
    <xf numFmtId="49" fontId="0" fillId="0" borderId="0" xfId="0" applyNumberFormat="1" applyAlignment="1">
      <alignment horizontal="right"/>
    </xf>
    <xf numFmtId="49" fontId="5" fillId="0" borderId="0" xfId="0" applyNumberFormat="1" applyFont="1" applyAlignment="1">
      <alignment horizontal="right"/>
    </xf>
    <xf numFmtId="0" fontId="0" fillId="0" borderId="9" xfId="0" applyBorder="1" applyAlignment="1">
      <alignment horizontal="center"/>
    </xf>
    <xf numFmtId="42" fontId="4" fillId="0" borderId="0" xfId="17" applyNumberFormat="1" applyFont="1" applyAlignment="1">
      <alignment/>
    </xf>
    <xf numFmtId="37" fontId="0" fillId="0" borderId="0" xfId="0" applyNumberFormat="1" applyAlignment="1">
      <alignment/>
    </xf>
    <xf numFmtId="39" fontId="0" fillId="0" borderId="0" xfId="0" applyNumberFormat="1" applyAlignment="1">
      <alignment/>
    </xf>
    <xf numFmtId="9" fontId="0" fillId="0" borderId="0" xfId="21" applyAlignment="1">
      <alignment/>
    </xf>
    <xf numFmtId="0" fontId="10" fillId="0" borderId="0" xfId="0" applyFont="1" applyAlignment="1">
      <alignment/>
    </xf>
    <xf numFmtId="44" fontId="0" fillId="0" borderId="0" xfId="17" applyAlignment="1">
      <alignment/>
    </xf>
    <xf numFmtId="37" fontId="0" fillId="0" borderId="0" xfId="17" applyNumberFormat="1" applyFont="1" applyAlignment="1">
      <alignment/>
    </xf>
    <xf numFmtId="1" fontId="0" fillId="0" borderId="0" xfId="0" applyNumberFormat="1" applyAlignment="1">
      <alignment/>
    </xf>
    <xf numFmtId="0" fontId="0" fillId="0" borderId="9" xfId="0" applyBorder="1" applyAlignment="1">
      <alignment/>
    </xf>
    <xf numFmtId="7" fontId="0" fillId="0" borderId="0" xfId="0" applyNumberFormat="1" applyAlignment="1">
      <alignment/>
    </xf>
    <xf numFmtId="7" fontId="4" fillId="0" borderId="0" xfId="0" applyNumberFormat="1" applyFont="1" applyAlignment="1">
      <alignment/>
    </xf>
    <xf numFmtId="0" fontId="12" fillId="0" borderId="0" xfId="0" applyFont="1" applyAlignment="1">
      <alignment/>
    </xf>
    <xf numFmtId="0" fontId="11" fillId="0" borderId="0" xfId="0" applyFont="1" applyAlignment="1">
      <alignment/>
    </xf>
    <xf numFmtId="0" fontId="13" fillId="0" borderId="0" xfId="0" applyFont="1" applyAlignment="1">
      <alignment/>
    </xf>
    <xf numFmtId="168" fontId="0" fillId="0" borderId="0" xfId="0" applyNumberFormat="1" applyAlignment="1">
      <alignment/>
    </xf>
    <xf numFmtId="170" fontId="0" fillId="0" borderId="0" xfId="0" applyNumberFormat="1" applyAlignment="1">
      <alignment/>
    </xf>
    <xf numFmtId="0" fontId="14" fillId="0" borderId="0" xfId="0" applyFont="1" applyAlignment="1">
      <alignment/>
    </xf>
    <xf numFmtId="171" fontId="0" fillId="0" borderId="0" xfId="0" applyNumberFormat="1" applyAlignment="1">
      <alignment/>
    </xf>
    <xf numFmtId="0" fontId="0" fillId="0" borderId="0" xfId="0" applyAlignment="1" quotePrefix="1">
      <alignment/>
    </xf>
    <xf numFmtId="0" fontId="8" fillId="0" borderId="0" xfId="20" applyAlignment="1">
      <alignment/>
    </xf>
    <xf numFmtId="0" fontId="0" fillId="0" borderId="0" xfId="0" applyFont="1" applyAlignment="1">
      <alignment/>
    </xf>
    <xf numFmtId="2" fontId="4" fillId="0" borderId="9" xfId="0" applyNumberFormat="1" applyFont="1" applyBorder="1" applyAlignment="1">
      <alignment/>
    </xf>
    <xf numFmtId="4" fontId="0" fillId="0" borderId="0" xfId="0" applyNumberFormat="1" applyAlignment="1">
      <alignment/>
    </xf>
    <xf numFmtId="3" fontId="4" fillId="0" borderId="9" xfId="0" applyNumberFormat="1" applyFont="1" applyBorder="1" applyAlignment="1">
      <alignment/>
    </xf>
    <xf numFmtId="2" fontId="0" fillId="0" borderId="1" xfId="0" applyNumberFormat="1" applyBorder="1" applyAlignment="1">
      <alignment/>
    </xf>
    <xf numFmtId="1" fontId="4" fillId="0" borderId="0" xfId="0" applyNumberFormat="1" applyFont="1" applyAlignment="1">
      <alignment/>
    </xf>
    <xf numFmtId="2" fontId="4" fillId="0" borderId="0" xfId="0" applyNumberFormat="1" applyFont="1" applyBorder="1" applyAlignment="1">
      <alignment/>
    </xf>
    <xf numFmtId="1" fontId="0" fillId="0" borderId="0" xfId="0" applyNumberFormat="1" applyFont="1" applyBorder="1" applyAlignment="1">
      <alignment/>
    </xf>
    <xf numFmtId="49" fontId="0" fillId="0" borderId="0" xfId="0" applyNumberFormat="1" applyAlignment="1">
      <alignment/>
    </xf>
    <xf numFmtId="9" fontId="0" fillId="0" borderId="1" xfId="0" applyNumberFormat="1" applyBorder="1" applyAlignment="1">
      <alignment/>
    </xf>
    <xf numFmtId="2" fontId="4" fillId="0" borderId="0" xfId="0" applyNumberFormat="1" applyFont="1" applyAlignment="1">
      <alignment/>
    </xf>
    <xf numFmtId="3" fontId="4" fillId="0" borderId="0" xfId="0" applyNumberFormat="1" applyFont="1" applyAlignment="1">
      <alignment/>
    </xf>
    <xf numFmtId="10" fontId="4" fillId="0" borderId="0" xfId="0" applyNumberFormat="1" applyFont="1" applyAlignment="1">
      <alignment/>
    </xf>
    <xf numFmtId="0" fontId="18" fillId="2" borderId="10" xfId="0" applyFont="1"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0"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ABC Inventory Analysis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'3 - Working Capital'!$C$249:$C$251</c:f>
              <c:strCache/>
            </c:strRef>
          </c:cat>
          <c:val>
            <c:numRef>
              <c:f>'3 - Working Capital'!$D$249:$D$251</c:f>
              <c:numCache>
                <c:ptCount val="3"/>
                <c:pt idx="0">
                  <c:v>0</c:v>
                </c:pt>
                <c:pt idx="1">
                  <c:v>0</c:v>
                </c:pt>
                <c:pt idx="2">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'3 - Working Capital'!$C$249:$C$251</c:f>
              <c:strCache/>
            </c:strRef>
          </c:cat>
          <c:val>
            <c:numRef>
              <c:f>'3 - Working Capital'!$E$249:$E$251</c:f>
              <c:numCache>
                <c:ptCount val="3"/>
                <c:pt idx="0">
                  <c:v>0</c:v>
                </c:pt>
                <c:pt idx="1">
                  <c:v>0</c:v>
                </c:pt>
                <c:pt idx="2">
                  <c:v>0</c:v>
                </c:pt>
              </c:numCache>
            </c:numRef>
          </c:val>
        </c:ser>
        <c:axId val="63912559"/>
        <c:axId val="38342120"/>
      </c:barChart>
      <c:catAx>
        <c:axId val="63912559"/>
        <c:scaling>
          <c:orientation val="minMax"/>
        </c:scaling>
        <c:axPos val="b"/>
        <c:title>
          <c:tx>
            <c:rich>
              <a:bodyPr vert="horz" rot="0" anchor="ctr"/>
              <a:lstStyle/>
              <a:p>
                <a:pPr algn="ctr">
                  <a:defRPr/>
                </a:pPr>
                <a:r>
                  <a:rPr lang="en-US" cap="none" sz="800" b="1" i="0" u="none" baseline="0">
                    <a:latin typeface="Arial"/>
                    <a:ea typeface="Arial"/>
                    <a:cs typeface="Arial"/>
                  </a:rPr>
                  <a:t>Groupings</a:t>
                </a:r>
              </a:p>
            </c:rich>
          </c:tx>
          <c:layout/>
          <c:overlay val="0"/>
          <c:spPr>
            <a:noFill/>
            <a:ln>
              <a:noFill/>
            </a:ln>
          </c:spPr>
        </c:title>
        <c:delete val="0"/>
        <c:numFmt formatCode="General" sourceLinked="1"/>
        <c:majorTickMark val="out"/>
        <c:minorTickMark val="none"/>
        <c:tickLblPos val="nextTo"/>
        <c:crossAx val="38342120"/>
        <c:crosses val="autoZero"/>
        <c:auto val="1"/>
        <c:lblOffset val="100"/>
        <c:noMultiLvlLbl val="0"/>
      </c:catAx>
      <c:valAx>
        <c:axId val="38342120"/>
        <c:scaling>
          <c:orientation val="minMax"/>
        </c:scaling>
        <c:axPos val="l"/>
        <c:title>
          <c:tx>
            <c:rich>
              <a:bodyPr vert="horz" rot="-5400000" anchor="ctr"/>
              <a:lstStyle/>
              <a:p>
                <a:pPr algn="ctr">
                  <a:defRPr/>
                </a:pPr>
                <a:r>
                  <a:rPr lang="en-US" cap="none" sz="800" b="1" i="0" u="none" baseline="0">
                    <a:latin typeface="Arial"/>
                    <a:ea typeface="Arial"/>
                    <a:cs typeface="Arial"/>
                  </a:rPr>
                  <a:t>Total Inventory Value</a:t>
                </a:r>
              </a:p>
            </c:rich>
          </c:tx>
          <c:layout/>
          <c:overlay val="0"/>
          <c:spPr>
            <a:noFill/>
            <a:ln>
              <a:noFill/>
            </a:ln>
          </c:spPr>
        </c:title>
        <c:majorGridlines/>
        <c:delete val="0"/>
        <c:numFmt formatCode="General" sourceLinked="1"/>
        <c:majorTickMark val="out"/>
        <c:minorTickMark val="none"/>
        <c:tickLblPos val="nextTo"/>
        <c:crossAx val="6391255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21</xdr:row>
      <xdr:rowOff>9525</xdr:rowOff>
    </xdr:from>
    <xdr:to>
      <xdr:col>9</xdr:col>
      <xdr:colOff>266700</xdr:colOff>
      <xdr:row>23</xdr:row>
      <xdr:rowOff>142875</xdr:rowOff>
    </xdr:to>
    <xdr:sp>
      <xdr:nvSpPr>
        <xdr:cNvPr id="1" name="AutoShape 1"/>
        <xdr:cNvSpPr>
          <a:spLocks/>
        </xdr:cNvSpPr>
      </xdr:nvSpPr>
      <xdr:spPr>
        <a:xfrm>
          <a:off x="6543675" y="3524250"/>
          <a:ext cx="20002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46</xdr:row>
      <xdr:rowOff>9525</xdr:rowOff>
    </xdr:from>
    <xdr:to>
      <xdr:col>9</xdr:col>
      <xdr:colOff>352425</xdr:colOff>
      <xdr:row>49</xdr:row>
      <xdr:rowOff>142875</xdr:rowOff>
    </xdr:to>
    <xdr:sp>
      <xdr:nvSpPr>
        <xdr:cNvPr id="2" name="AutoShape 2"/>
        <xdr:cNvSpPr>
          <a:spLocks/>
        </xdr:cNvSpPr>
      </xdr:nvSpPr>
      <xdr:spPr>
        <a:xfrm>
          <a:off x="6581775" y="7572375"/>
          <a:ext cx="247650" cy="619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179</xdr:row>
      <xdr:rowOff>76200</xdr:rowOff>
    </xdr:from>
    <xdr:to>
      <xdr:col>5</xdr:col>
      <xdr:colOff>714375</xdr:colOff>
      <xdr:row>179</xdr:row>
      <xdr:rowOff>76200</xdr:rowOff>
    </xdr:to>
    <xdr:sp>
      <xdr:nvSpPr>
        <xdr:cNvPr id="1" name="Line 7"/>
        <xdr:cNvSpPr>
          <a:spLocks/>
        </xdr:cNvSpPr>
      </xdr:nvSpPr>
      <xdr:spPr>
        <a:xfrm flipH="1">
          <a:off x="3000375" y="29241750"/>
          <a:ext cx="1409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188</xdr:row>
      <xdr:rowOff>85725</xdr:rowOff>
    </xdr:from>
    <xdr:to>
      <xdr:col>5</xdr:col>
      <xdr:colOff>676275</xdr:colOff>
      <xdr:row>188</xdr:row>
      <xdr:rowOff>85725</xdr:rowOff>
    </xdr:to>
    <xdr:sp>
      <xdr:nvSpPr>
        <xdr:cNvPr id="2" name="Line 8"/>
        <xdr:cNvSpPr>
          <a:spLocks/>
        </xdr:cNvSpPr>
      </xdr:nvSpPr>
      <xdr:spPr>
        <a:xfrm flipH="1">
          <a:off x="3762375" y="307086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253</xdr:row>
      <xdr:rowOff>38100</xdr:rowOff>
    </xdr:from>
    <xdr:to>
      <xdr:col>5</xdr:col>
      <xdr:colOff>552450</xdr:colOff>
      <xdr:row>266</xdr:row>
      <xdr:rowOff>104775</xdr:rowOff>
    </xdr:to>
    <xdr:graphicFrame>
      <xdr:nvGraphicFramePr>
        <xdr:cNvPr id="3" name="Chart 9"/>
        <xdr:cNvGraphicFramePr/>
      </xdr:nvGraphicFramePr>
      <xdr:xfrm>
        <a:off x="1390650" y="41186100"/>
        <a:ext cx="2857500" cy="2171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9</xdr:row>
      <xdr:rowOff>85725</xdr:rowOff>
    </xdr:from>
    <xdr:to>
      <xdr:col>4</xdr:col>
      <xdr:colOff>161925</xdr:colOff>
      <xdr:row>19</xdr:row>
      <xdr:rowOff>142875</xdr:rowOff>
    </xdr:to>
    <xdr:pic>
      <xdr:nvPicPr>
        <xdr:cNvPr id="1" name="Picture 1" descr="Amortisation of a present value"/>
        <xdr:cNvPicPr preferRelativeResize="1">
          <a:picLocks noChangeAspect="1"/>
        </xdr:cNvPicPr>
      </xdr:nvPicPr>
      <xdr:blipFill>
        <a:blip r:embed="rId1"/>
        <a:stretch>
          <a:fillRect/>
        </a:stretch>
      </xdr:blipFill>
      <xdr:spPr>
        <a:xfrm>
          <a:off x="628650" y="1619250"/>
          <a:ext cx="2514600" cy="1676400"/>
        </a:xfrm>
        <a:prstGeom prst="rect">
          <a:avLst/>
        </a:prstGeom>
        <a:noFill/>
        <a:ln w="9525" cmpd="sng">
          <a:noFill/>
        </a:ln>
      </xdr:spPr>
    </xdr:pic>
    <xdr:clientData/>
  </xdr:twoCellAnchor>
  <xdr:twoCellAnchor>
    <xdr:from>
      <xdr:col>7</xdr:col>
      <xdr:colOff>647700</xdr:colOff>
      <xdr:row>35</xdr:row>
      <xdr:rowOff>66675</xdr:rowOff>
    </xdr:from>
    <xdr:to>
      <xdr:col>8</xdr:col>
      <xdr:colOff>38100</xdr:colOff>
      <xdr:row>39</xdr:row>
      <xdr:rowOff>161925</xdr:rowOff>
    </xdr:to>
    <xdr:sp>
      <xdr:nvSpPr>
        <xdr:cNvPr id="2" name="Line 8"/>
        <xdr:cNvSpPr>
          <a:spLocks/>
        </xdr:cNvSpPr>
      </xdr:nvSpPr>
      <xdr:spPr>
        <a:xfrm flipH="1">
          <a:off x="6238875" y="5972175"/>
          <a:ext cx="24765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742950</xdr:colOff>
      <xdr:row>30</xdr:row>
      <xdr:rowOff>9525</xdr:rowOff>
    </xdr:from>
    <xdr:to>
      <xdr:col>8</xdr:col>
      <xdr:colOff>28575</xdr:colOff>
      <xdr:row>33</xdr:row>
      <xdr:rowOff>142875</xdr:rowOff>
    </xdr:to>
    <xdr:sp>
      <xdr:nvSpPr>
        <xdr:cNvPr id="3" name="Line 9"/>
        <xdr:cNvSpPr>
          <a:spLocks/>
        </xdr:cNvSpPr>
      </xdr:nvSpPr>
      <xdr:spPr>
        <a:xfrm flipH="1" flipV="1">
          <a:off x="6334125" y="4943475"/>
          <a:ext cx="142875"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3"/>
  <sheetViews>
    <sheetView tabSelected="1" workbookViewId="0" topLeftCell="A1">
      <selection activeCell="A1" sqref="A1"/>
    </sheetView>
  </sheetViews>
  <sheetFormatPr defaultColWidth="9.140625" defaultRowHeight="12.75"/>
  <cols>
    <col min="2" max="2" width="42.00390625" style="0" customWidth="1"/>
  </cols>
  <sheetData>
    <row r="1" spans="1:5" ht="15.75">
      <c r="A1" s="1"/>
      <c r="B1" s="2" t="s">
        <v>348</v>
      </c>
      <c r="C1" s="1"/>
      <c r="D1" s="1"/>
      <c r="E1" s="1"/>
    </row>
    <row r="2" spans="1:5" ht="15.75">
      <c r="A2" s="1"/>
      <c r="B2" s="2" t="s">
        <v>0</v>
      </c>
      <c r="C2" s="1"/>
      <c r="D2" s="1"/>
      <c r="E2" s="1"/>
    </row>
    <row r="4" spans="1:2" ht="12.75">
      <c r="A4" s="3" t="s">
        <v>1</v>
      </c>
      <c r="B4" s="3" t="s">
        <v>120</v>
      </c>
    </row>
    <row r="6" spans="1:9" ht="12.75">
      <c r="A6" s="4">
        <v>1</v>
      </c>
      <c r="B6" s="53" t="s">
        <v>60</v>
      </c>
      <c r="C6" s="67" t="s">
        <v>424</v>
      </c>
      <c r="D6" s="68"/>
      <c r="E6" s="68"/>
      <c r="F6" s="68"/>
      <c r="G6" s="68"/>
      <c r="H6" s="68"/>
      <c r="I6" s="69"/>
    </row>
    <row r="7" spans="1:9" ht="12.75">
      <c r="A7" s="4">
        <v>2</v>
      </c>
      <c r="B7" s="53" t="s">
        <v>119</v>
      </c>
      <c r="C7" s="70"/>
      <c r="D7" s="71"/>
      <c r="E7" s="71"/>
      <c r="F7" s="71"/>
      <c r="G7" s="71"/>
      <c r="H7" s="71"/>
      <c r="I7" s="72"/>
    </row>
    <row r="8" spans="1:9" ht="12.75">
      <c r="A8" s="4">
        <v>3</v>
      </c>
      <c r="B8" s="53" t="s">
        <v>241</v>
      </c>
      <c r="C8" s="70"/>
      <c r="D8" s="71"/>
      <c r="E8" s="71"/>
      <c r="F8" s="71"/>
      <c r="G8" s="71"/>
      <c r="H8" s="71"/>
      <c r="I8" s="72"/>
    </row>
    <row r="9" spans="1:9" ht="12.75">
      <c r="A9" s="4">
        <v>4</v>
      </c>
      <c r="B9" s="53" t="s">
        <v>240</v>
      </c>
      <c r="C9" s="70"/>
      <c r="D9" s="71"/>
      <c r="E9" s="71"/>
      <c r="F9" s="71"/>
      <c r="G9" s="71"/>
      <c r="H9" s="71"/>
      <c r="I9" s="72"/>
    </row>
    <row r="10" spans="1:9" ht="12.75">
      <c r="A10" s="4">
        <v>5</v>
      </c>
      <c r="B10" s="53" t="s">
        <v>340</v>
      </c>
      <c r="C10" s="70"/>
      <c r="D10" s="71"/>
      <c r="E10" s="71"/>
      <c r="F10" s="71"/>
      <c r="G10" s="71"/>
      <c r="H10" s="71"/>
      <c r="I10" s="72"/>
    </row>
    <row r="11" spans="1:9" ht="12.75">
      <c r="A11" s="4"/>
      <c r="C11" s="70"/>
      <c r="D11" s="71"/>
      <c r="E11" s="71"/>
      <c r="F11" s="71"/>
      <c r="G11" s="71"/>
      <c r="H11" s="71"/>
      <c r="I11" s="72"/>
    </row>
    <row r="12" spans="1:9" ht="12.75">
      <c r="A12" s="4"/>
      <c r="C12" s="73"/>
      <c r="D12" s="74"/>
      <c r="E12" s="74"/>
      <c r="F12" s="74"/>
      <c r="G12" s="74"/>
      <c r="H12" s="74"/>
      <c r="I12" s="75"/>
    </row>
    <row r="13" ht="12.75">
      <c r="A13" s="4"/>
    </row>
  </sheetData>
  <sheetProtection password="ECA9" sheet="1" objects="1" scenarios="1"/>
  <mergeCells count="1">
    <mergeCell ref="C6:I12"/>
  </mergeCells>
  <hyperlinks>
    <hyperlink ref="B6" location="'1 - Forecasting'!A1" display="Forecasting Financial Statements"/>
    <hyperlink ref="B7" location="'2 - Detail Budgets'!A1" display="Detail Budget Schedules (Operating Plans)"/>
    <hyperlink ref="B8" location="'3 - Working Capital'!A1" display="Working Capital Management"/>
    <hyperlink ref="B9" location="'4 - Short Term Financing'!A1" display="Short Term Financing"/>
    <hyperlink ref="B10" location="'5 - Long Term Financing'!A1" display="Long Term Financing"/>
  </hyperlink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K86"/>
  <sheetViews>
    <sheetView workbookViewId="0" topLeftCell="A1">
      <selection activeCell="B21" sqref="B21"/>
    </sheetView>
  </sheetViews>
  <sheetFormatPr defaultColWidth="9.140625" defaultRowHeight="12.75"/>
  <cols>
    <col min="7" max="7" width="16.8515625" style="0" customWidth="1"/>
    <col min="8" max="9" width="12.7109375" style="0" customWidth="1"/>
    <col min="10" max="10" width="10.57421875" style="0" customWidth="1"/>
  </cols>
  <sheetData>
    <row r="1" spans="1:9" ht="15.75">
      <c r="A1" s="1"/>
      <c r="B1" s="2" t="s">
        <v>242</v>
      </c>
      <c r="C1" s="1"/>
      <c r="D1" s="1"/>
      <c r="E1" s="1"/>
      <c r="F1" s="1"/>
      <c r="G1" s="1"/>
      <c r="H1" s="1"/>
      <c r="I1" s="1"/>
    </row>
    <row r="2" spans="1:9" ht="15.75">
      <c r="A2" s="1"/>
      <c r="B2" s="2" t="s">
        <v>62</v>
      </c>
      <c r="C2" s="1"/>
      <c r="D2" s="1"/>
      <c r="E2" s="1"/>
      <c r="F2" s="1"/>
      <c r="G2" s="1"/>
      <c r="H2" s="1"/>
      <c r="I2" s="1"/>
    </row>
    <row r="4" ht="12.75">
      <c r="A4" t="s">
        <v>2</v>
      </c>
    </row>
    <row r="5" ht="12.75">
      <c r="A5" t="s">
        <v>14</v>
      </c>
    </row>
    <row r="6" ht="12.75">
      <c r="A6" t="s">
        <v>15</v>
      </c>
    </row>
    <row r="7" ht="12.75">
      <c r="A7" t="s">
        <v>16</v>
      </c>
    </row>
    <row r="8" ht="12.75">
      <c r="A8" t="s">
        <v>17</v>
      </c>
    </row>
    <row r="9" ht="12.75">
      <c r="A9" t="s">
        <v>18</v>
      </c>
    </row>
    <row r="10" ht="12.75">
      <c r="A10" t="s">
        <v>19</v>
      </c>
    </row>
    <row r="12" ht="12.75">
      <c r="B12" t="s">
        <v>36</v>
      </c>
    </row>
    <row r="13" ht="12.75">
      <c r="B13" t="s">
        <v>37</v>
      </c>
    </row>
    <row r="14" ht="12.75">
      <c r="B14" t="s">
        <v>63</v>
      </c>
    </row>
    <row r="15" ht="12.75">
      <c r="B15" t="s">
        <v>64</v>
      </c>
    </row>
    <row r="17" ht="15.75">
      <c r="C17" s="9" t="s">
        <v>38</v>
      </c>
    </row>
    <row r="19" spans="2:7" ht="12.75">
      <c r="B19" t="s">
        <v>3</v>
      </c>
      <c r="G19" s="5">
        <v>3600000</v>
      </c>
    </row>
    <row r="21" ht="12.75">
      <c r="B21" t="s">
        <v>4</v>
      </c>
    </row>
    <row r="22" spans="3:11" ht="12.75">
      <c r="C22" t="s">
        <v>136</v>
      </c>
      <c r="G22" s="5">
        <f>G19*I22</f>
        <v>1224000</v>
      </c>
      <c r="I22" s="10">
        <v>0.34</v>
      </c>
      <c r="K22" t="s">
        <v>65</v>
      </c>
    </row>
    <row r="23" spans="3:11" ht="12.75">
      <c r="C23" t="s">
        <v>9</v>
      </c>
      <c r="G23" s="5">
        <f>G19*I23</f>
        <v>396000</v>
      </c>
      <c r="I23" s="10">
        <v>0.11</v>
      </c>
      <c r="K23" t="s">
        <v>66</v>
      </c>
    </row>
    <row r="24" spans="3:9" ht="12.75">
      <c r="C24" t="s">
        <v>10</v>
      </c>
      <c r="G24" s="5">
        <f>G19*I24</f>
        <v>288000</v>
      </c>
      <c r="I24" s="10">
        <v>0.08</v>
      </c>
    </row>
    <row r="25" ht="12.75">
      <c r="G25" s="5"/>
    </row>
    <row r="26" spans="4:7" ht="12.75">
      <c r="D26" t="s">
        <v>26</v>
      </c>
      <c r="G26" s="5">
        <f>SUM(G22:G25)</f>
        <v>1908000</v>
      </c>
    </row>
    <row r="27" ht="12.75">
      <c r="G27" s="5"/>
    </row>
    <row r="28" spans="2:7" ht="12.75">
      <c r="B28" t="s">
        <v>5</v>
      </c>
      <c r="G28" s="5"/>
    </row>
    <row r="29" spans="3:7" ht="12.75">
      <c r="C29" t="s">
        <v>8</v>
      </c>
      <c r="G29" s="5">
        <v>490100</v>
      </c>
    </row>
    <row r="30" spans="3:7" ht="12.75">
      <c r="C30" t="s">
        <v>11</v>
      </c>
      <c r="G30" s="5">
        <v>312400</v>
      </c>
    </row>
    <row r="31" spans="3:7" ht="12.75">
      <c r="C31" t="s">
        <v>6</v>
      </c>
      <c r="G31" s="5">
        <v>270000</v>
      </c>
    </row>
    <row r="32" spans="3:7" ht="12.75">
      <c r="C32" t="s">
        <v>7</v>
      </c>
      <c r="G32" s="5">
        <v>105000</v>
      </c>
    </row>
    <row r="33" spans="3:7" ht="12.75">
      <c r="C33" t="s">
        <v>12</v>
      </c>
      <c r="G33" s="5">
        <v>195000</v>
      </c>
    </row>
    <row r="34" ht="12.75">
      <c r="G34" s="5"/>
    </row>
    <row r="35" spans="4:7" ht="12.75">
      <c r="D35" t="s">
        <v>27</v>
      </c>
      <c r="G35" s="5">
        <f>SUM(G29:G33)</f>
        <v>1372500</v>
      </c>
    </row>
    <row r="36" ht="12.75">
      <c r="G36" s="5"/>
    </row>
    <row r="37" spans="4:7" ht="12.75">
      <c r="D37" s="6" t="s">
        <v>13</v>
      </c>
      <c r="E37" s="6"/>
      <c r="F37" s="6"/>
      <c r="G37" s="7">
        <f>G19-G26-G35</f>
        <v>319500</v>
      </c>
    </row>
    <row r="38" ht="12.75">
      <c r="G38" s="5"/>
    </row>
    <row r="39" ht="12.75">
      <c r="G39" s="5"/>
    </row>
    <row r="40" spans="1:7" ht="12.75">
      <c r="A40" t="s">
        <v>20</v>
      </c>
      <c r="G40" s="5"/>
    </row>
    <row r="41" spans="1:7" ht="12.75">
      <c r="A41" t="s">
        <v>21</v>
      </c>
      <c r="G41" s="5"/>
    </row>
    <row r="42" spans="1:7" ht="12.75">
      <c r="A42" t="s">
        <v>22</v>
      </c>
      <c r="G42" s="5"/>
    </row>
    <row r="43" spans="1:7" ht="12.75">
      <c r="A43" t="s">
        <v>23</v>
      </c>
      <c r="G43" s="5"/>
    </row>
    <row r="44" spans="1:7" ht="12.75">
      <c r="A44" t="s">
        <v>24</v>
      </c>
      <c r="G44" s="5"/>
    </row>
    <row r="45" ht="12.75">
      <c r="A45" t="s">
        <v>25</v>
      </c>
    </row>
    <row r="47" spans="1:9" ht="12.75">
      <c r="A47" s="8" t="s">
        <v>31</v>
      </c>
      <c r="B47" t="s">
        <v>28</v>
      </c>
      <c r="I47" s="10">
        <v>0.11</v>
      </c>
    </row>
    <row r="48" spans="1:11" ht="12.75">
      <c r="A48" s="8" t="s">
        <v>32</v>
      </c>
      <c r="B48" t="s">
        <v>29</v>
      </c>
      <c r="I48" s="10">
        <v>0.18</v>
      </c>
      <c r="K48" t="s">
        <v>65</v>
      </c>
    </row>
    <row r="49" spans="1:11" ht="12.75">
      <c r="A49" s="8"/>
      <c r="B49" t="s">
        <v>30</v>
      </c>
      <c r="I49" s="10"/>
      <c r="K49" t="s">
        <v>66</v>
      </c>
    </row>
    <row r="50" spans="1:9" ht="12.75">
      <c r="A50" s="8" t="s">
        <v>33</v>
      </c>
      <c r="B50" t="s">
        <v>34</v>
      </c>
      <c r="I50" s="10">
        <v>0.09</v>
      </c>
    </row>
    <row r="51" spans="1:2" ht="12.75">
      <c r="A51" s="8" t="s">
        <v>35</v>
      </c>
      <c r="B51" t="s">
        <v>53</v>
      </c>
    </row>
    <row r="52" spans="1:2" ht="12.75">
      <c r="A52" s="8" t="s">
        <v>40</v>
      </c>
      <c r="B52" t="s">
        <v>39</v>
      </c>
    </row>
    <row r="53" spans="1:9" ht="12.75">
      <c r="A53" s="8" t="s">
        <v>54</v>
      </c>
      <c r="B53" t="s">
        <v>135</v>
      </c>
      <c r="I53" s="5">
        <f>85900-65000</f>
        <v>20900</v>
      </c>
    </row>
    <row r="55" ht="15.75">
      <c r="C55" s="9" t="s">
        <v>220</v>
      </c>
    </row>
    <row r="57" ht="12.75">
      <c r="B57" s="6" t="s">
        <v>41</v>
      </c>
    </row>
    <row r="58" spans="3:7" ht="12.75">
      <c r="C58" t="s">
        <v>42</v>
      </c>
      <c r="G58" s="5">
        <f>G19*I47</f>
        <v>396000</v>
      </c>
    </row>
    <row r="59" spans="3:7" ht="12.75">
      <c r="C59" t="s">
        <v>43</v>
      </c>
      <c r="G59" s="5">
        <f>(G19*I48)+G31</f>
        <v>918000</v>
      </c>
    </row>
    <row r="60" ht="12.75">
      <c r="G60" s="5"/>
    </row>
    <row r="61" spans="4:7" ht="12.75">
      <c r="D61" t="s">
        <v>44</v>
      </c>
      <c r="G61" s="5">
        <f>SUM(G58:G60)</f>
        <v>1314000</v>
      </c>
    </row>
    <row r="62" ht="12.75">
      <c r="G62" s="5"/>
    </row>
    <row r="63" spans="2:7" ht="12.75">
      <c r="B63" s="6" t="s">
        <v>48</v>
      </c>
      <c r="G63" s="5"/>
    </row>
    <row r="64" ht="12.75">
      <c r="G64" s="5"/>
    </row>
    <row r="65" spans="3:7" ht="12.75">
      <c r="C65" t="s">
        <v>45</v>
      </c>
      <c r="G65" s="5">
        <f>G19*I50</f>
        <v>324000</v>
      </c>
    </row>
    <row r="66" spans="3:7" ht="12.75">
      <c r="C66" t="s">
        <v>46</v>
      </c>
      <c r="G66" s="5">
        <v>410000</v>
      </c>
    </row>
    <row r="67" ht="12.75">
      <c r="G67" s="5"/>
    </row>
    <row r="68" spans="4:7" ht="12.75">
      <c r="D68" t="s">
        <v>47</v>
      </c>
      <c r="G68" s="5">
        <f>SUM(G65:G67)</f>
        <v>734000</v>
      </c>
    </row>
    <row r="69" ht="12.75">
      <c r="G69" s="5"/>
    </row>
    <row r="70" spans="2:7" ht="12.75">
      <c r="B70" s="6" t="s">
        <v>49</v>
      </c>
      <c r="G70" s="5"/>
    </row>
    <row r="71" spans="3:7" ht="12.75">
      <c r="C71" t="s">
        <v>50</v>
      </c>
      <c r="G71" s="5">
        <v>105000</v>
      </c>
    </row>
    <row r="72" spans="3:7" ht="12.75">
      <c r="C72" t="s">
        <v>51</v>
      </c>
      <c r="G72" s="5">
        <f>G37+I53</f>
        <v>340400</v>
      </c>
    </row>
    <row r="73" ht="12.75">
      <c r="G73" s="5"/>
    </row>
    <row r="74" spans="4:7" ht="12.75">
      <c r="D74" t="s">
        <v>52</v>
      </c>
      <c r="G74" s="5">
        <f>SUM(G71:G73)</f>
        <v>445400</v>
      </c>
    </row>
    <row r="75" ht="12.75">
      <c r="G75" s="5"/>
    </row>
    <row r="76" spans="4:7" ht="12.75">
      <c r="D76" t="s">
        <v>55</v>
      </c>
      <c r="G76" s="5">
        <f>G68+G74</f>
        <v>1179400</v>
      </c>
    </row>
    <row r="77" ht="12.75">
      <c r="G77" s="5"/>
    </row>
    <row r="78" spans="4:7" ht="12.75">
      <c r="D78" t="s">
        <v>56</v>
      </c>
      <c r="G78" s="5">
        <f>G61-G76</f>
        <v>134600</v>
      </c>
    </row>
    <row r="81" ht="12.75">
      <c r="B81" t="s">
        <v>57</v>
      </c>
    </row>
    <row r="82" ht="12.75">
      <c r="B82" t="s">
        <v>58</v>
      </c>
    </row>
    <row r="83" ht="12.75">
      <c r="B83" t="s">
        <v>59</v>
      </c>
    </row>
    <row r="85" ht="12.75">
      <c r="B85" t="s">
        <v>67</v>
      </c>
    </row>
    <row r="86" ht="12.75">
      <c r="B86" t="s">
        <v>68</v>
      </c>
    </row>
  </sheetData>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J112"/>
  <sheetViews>
    <sheetView workbookViewId="0" topLeftCell="A103">
      <selection activeCell="B2" sqref="B2"/>
    </sheetView>
  </sheetViews>
  <sheetFormatPr defaultColWidth="9.140625" defaultRowHeight="12.75"/>
  <cols>
    <col min="3" max="3" width="5.57421875" style="0" customWidth="1"/>
    <col min="4" max="4" width="13.8515625" style="0" customWidth="1"/>
    <col min="5" max="5" width="13.421875" style="0" customWidth="1"/>
    <col min="6" max="6" width="14.8515625" style="0" customWidth="1"/>
    <col min="7" max="7" width="14.7109375" style="0" customWidth="1"/>
    <col min="8" max="8" width="13.8515625" style="0" customWidth="1"/>
    <col min="9" max="9" width="11.00390625" style="0" customWidth="1"/>
    <col min="10" max="10" width="9.7109375" style="0" bestFit="1" customWidth="1"/>
  </cols>
  <sheetData>
    <row r="1" spans="1:9" ht="15.75">
      <c r="A1" s="1"/>
      <c r="B1" s="2" t="s">
        <v>242</v>
      </c>
      <c r="C1" s="1"/>
      <c r="D1" s="1"/>
      <c r="E1" s="1"/>
      <c r="F1" s="1"/>
      <c r="G1" s="1"/>
      <c r="H1" s="1"/>
      <c r="I1" s="1"/>
    </row>
    <row r="2" spans="1:9" ht="15.75">
      <c r="A2" s="1"/>
      <c r="B2" s="2" t="s">
        <v>61</v>
      </c>
      <c r="C2" s="1"/>
      <c r="D2" s="1"/>
      <c r="E2" s="1"/>
      <c r="F2" s="1"/>
      <c r="G2" s="1"/>
      <c r="H2" s="1"/>
      <c r="I2" s="1"/>
    </row>
    <row r="4" ht="12.75">
      <c r="A4" t="s">
        <v>69</v>
      </c>
    </row>
    <row r="5" ht="12.75">
      <c r="A5" t="s">
        <v>99</v>
      </c>
    </row>
    <row r="7" ht="15.75">
      <c r="A7" s="9" t="s">
        <v>70</v>
      </c>
    </row>
    <row r="9" spans="4:8" ht="12.75">
      <c r="D9" s="11" t="s">
        <v>74</v>
      </c>
      <c r="E9" s="11" t="s">
        <v>75</v>
      </c>
      <c r="F9" s="11" t="s">
        <v>76</v>
      </c>
      <c r="G9" s="11" t="s">
        <v>77</v>
      </c>
      <c r="H9" s="11" t="s">
        <v>78</v>
      </c>
    </row>
    <row r="10" spans="1:8" ht="12.75">
      <c r="A10" t="s">
        <v>71</v>
      </c>
      <c r="D10" s="12">
        <v>21600</v>
      </c>
      <c r="E10" s="12">
        <v>26600</v>
      </c>
      <c r="F10" s="12">
        <v>33700</v>
      </c>
      <c r="G10" s="12">
        <v>53900</v>
      </c>
      <c r="H10" s="12"/>
    </row>
    <row r="11" spans="1:7" ht="12.75">
      <c r="A11" t="s">
        <v>72</v>
      </c>
      <c r="D11" s="13">
        <v>20.1</v>
      </c>
      <c r="E11" s="13">
        <v>22.6</v>
      </c>
      <c r="F11" s="13">
        <v>26.9</v>
      </c>
      <c r="G11" s="13">
        <v>30.7</v>
      </c>
    </row>
    <row r="12" spans="1:8" ht="12.75">
      <c r="A12" t="s">
        <v>73</v>
      </c>
      <c r="D12" s="5">
        <f>D10*D11</f>
        <v>434160.00000000006</v>
      </c>
      <c r="E12" s="5">
        <f>E10*E11</f>
        <v>601160</v>
      </c>
      <c r="F12" s="5">
        <f>F10*F11</f>
        <v>906530</v>
      </c>
      <c r="G12" s="5">
        <f>G10*G11</f>
        <v>1654730</v>
      </c>
      <c r="H12" s="5">
        <f>SUM(D12:G12)</f>
        <v>3596580</v>
      </c>
    </row>
    <row r="13" spans="7:8" ht="12.75">
      <c r="G13" t="s">
        <v>79</v>
      </c>
      <c r="H13" s="5">
        <v>3600000</v>
      </c>
    </row>
    <row r="15" ht="15.75">
      <c r="A15" s="9" t="s">
        <v>80</v>
      </c>
    </row>
    <row r="17" ht="12.75">
      <c r="A17" t="s">
        <v>81</v>
      </c>
    </row>
    <row r="19" spans="2:5" ht="12.75">
      <c r="B19" t="s">
        <v>82</v>
      </c>
      <c r="E19" s="10">
        <v>0.85</v>
      </c>
    </row>
    <row r="20" spans="2:5" ht="12.75">
      <c r="B20" t="s">
        <v>84</v>
      </c>
      <c r="E20" s="10">
        <v>0.12</v>
      </c>
    </row>
    <row r="21" spans="2:5" ht="12.75">
      <c r="B21" t="s">
        <v>85</v>
      </c>
      <c r="E21" s="10">
        <v>0.03</v>
      </c>
    </row>
    <row r="22" spans="4:5" ht="12.75">
      <c r="D22" t="s">
        <v>78</v>
      </c>
      <c r="E22" s="10">
        <f>SUM(E19:E21)</f>
        <v>1</v>
      </c>
    </row>
    <row r="24" spans="1:8" ht="12.75">
      <c r="A24" t="s">
        <v>83</v>
      </c>
      <c r="G24" s="5">
        <v>67100</v>
      </c>
      <c r="H24" t="s">
        <v>91</v>
      </c>
    </row>
    <row r="26" spans="2:7" ht="12.75">
      <c r="B26" t="s">
        <v>86</v>
      </c>
      <c r="G26" s="14">
        <f>D12*E19</f>
        <v>369036.00000000006</v>
      </c>
    </row>
    <row r="28" spans="4:7" ht="12.75">
      <c r="D28" t="s">
        <v>87</v>
      </c>
      <c r="G28" s="5">
        <f>SUM(G24:G26)</f>
        <v>436136.00000000006</v>
      </c>
    </row>
    <row r="30" spans="2:7" ht="12.75">
      <c r="B30" t="s">
        <v>88</v>
      </c>
      <c r="G30" s="5">
        <f>D12*E20</f>
        <v>52099.200000000004</v>
      </c>
    </row>
    <row r="31" spans="2:7" ht="12.75">
      <c r="B31" t="s">
        <v>89</v>
      </c>
      <c r="G31" s="14">
        <f>E12*E19</f>
        <v>510986</v>
      </c>
    </row>
    <row r="32" ht="12.75">
      <c r="G32" s="5"/>
    </row>
    <row r="33" spans="4:7" ht="12.75">
      <c r="D33" t="s">
        <v>90</v>
      </c>
      <c r="G33" s="5">
        <f>SUM(G30:G32)</f>
        <v>563085.2</v>
      </c>
    </row>
    <row r="34" ht="12.75">
      <c r="G34" s="5"/>
    </row>
    <row r="35" spans="2:7" ht="12.75">
      <c r="B35" t="s">
        <v>92</v>
      </c>
      <c r="G35" s="5">
        <f>E12*E20</f>
        <v>72139.2</v>
      </c>
    </row>
    <row r="36" spans="2:7" ht="12.75">
      <c r="B36" t="s">
        <v>93</v>
      </c>
      <c r="G36" s="14">
        <f>F12*E19</f>
        <v>770550.5</v>
      </c>
    </row>
    <row r="37" ht="12.75">
      <c r="G37" s="5"/>
    </row>
    <row r="38" spans="4:7" ht="12.75">
      <c r="D38" t="s">
        <v>94</v>
      </c>
      <c r="G38" s="5">
        <f>SUM(G35:G37)</f>
        <v>842689.7</v>
      </c>
    </row>
    <row r="39" ht="12.75">
      <c r="G39" s="5"/>
    </row>
    <row r="40" spans="2:7" ht="12.75">
      <c r="B40" t="s">
        <v>95</v>
      </c>
      <c r="G40" s="5">
        <f>F12*E20</f>
        <v>108783.59999999999</v>
      </c>
    </row>
    <row r="41" spans="2:7" ht="12.75">
      <c r="B41" t="s">
        <v>96</v>
      </c>
      <c r="G41" s="14">
        <f>G12*E19</f>
        <v>1406520.5</v>
      </c>
    </row>
    <row r="43" spans="4:7" ht="12.75">
      <c r="D43" t="s">
        <v>97</v>
      </c>
      <c r="G43" s="5">
        <f>SUM(G40:G42)</f>
        <v>1515304.1</v>
      </c>
    </row>
    <row r="45" spans="4:7" ht="12.75">
      <c r="D45" s="6" t="s">
        <v>98</v>
      </c>
      <c r="E45" s="6"/>
      <c r="F45" s="6"/>
      <c r="G45" s="7">
        <f>G28+G33+G38+G43</f>
        <v>3357215</v>
      </c>
    </row>
    <row r="47" ht="15.75">
      <c r="A47" s="9" t="s">
        <v>100</v>
      </c>
    </row>
    <row r="49" spans="4:8" ht="12.75">
      <c r="D49" s="11" t="s">
        <v>74</v>
      </c>
      <c r="E49" s="11" t="s">
        <v>75</v>
      </c>
      <c r="F49" s="11" t="s">
        <v>76</v>
      </c>
      <c r="G49" s="11" t="s">
        <v>77</v>
      </c>
      <c r="H49" s="11" t="s">
        <v>78</v>
      </c>
    </row>
    <row r="50" spans="1:8" ht="12.75">
      <c r="A50" t="s">
        <v>101</v>
      </c>
      <c r="D50" s="12">
        <f>D10</f>
        <v>21600</v>
      </c>
      <c r="E50" s="12">
        <f>E10</f>
        <v>26600</v>
      </c>
      <c r="F50" s="12">
        <f>F10</f>
        <v>33700</v>
      </c>
      <c r="G50" s="12">
        <f>G10</f>
        <v>53900</v>
      </c>
      <c r="H50" s="12">
        <f>SUM(D50:G50)</f>
        <v>135800</v>
      </c>
    </row>
    <row r="51" spans="1:8" ht="12.75">
      <c r="A51" t="s">
        <v>102</v>
      </c>
      <c r="D51" s="12">
        <v>3600</v>
      </c>
      <c r="E51" s="12">
        <v>4100</v>
      </c>
      <c r="F51" s="12">
        <v>5300</v>
      </c>
      <c r="G51" s="12">
        <v>6800</v>
      </c>
      <c r="H51" s="12">
        <f>SUM(D51:G51)</f>
        <v>19800</v>
      </c>
    </row>
    <row r="52" spans="1:8" ht="12.75">
      <c r="A52" t="s">
        <v>104</v>
      </c>
      <c r="D52" s="12">
        <f>SUM(D50:D51)</f>
        <v>25200</v>
      </c>
      <c r="E52" s="12">
        <f>SUM(E50:E51)</f>
        <v>30700</v>
      </c>
      <c r="F52" s="12">
        <f>SUM(F50:F51)</f>
        <v>39000</v>
      </c>
      <c r="G52" s="12">
        <f>SUM(G50:G51)</f>
        <v>60700</v>
      </c>
      <c r="H52" s="12">
        <f>SUM(D52:G52)</f>
        <v>155600</v>
      </c>
    </row>
    <row r="53" spans="1:8" ht="12.75">
      <c r="A53" t="s">
        <v>103</v>
      </c>
      <c r="D53" s="15">
        <v>4500</v>
      </c>
      <c r="E53" s="15">
        <f>D51</f>
        <v>3600</v>
      </c>
      <c r="F53" s="15">
        <f>E51</f>
        <v>4100</v>
      </c>
      <c r="G53" s="15">
        <f>F51</f>
        <v>5300</v>
      </c>
      <c r="H53" s="15">
        <f>SUM(D53:G53)</f>
        <v>17500</v>
      </c>
    </row>
    <row r="54" spans="1:8" ht="12.75">
      <c r="A54" t="s">
        <v>105</v>
      </c>
      <c r="D54" s="12">
        <f>D52-D53</f>
        <v>20700</v>
      </c>
      <c r="E54" s="12">
        <f>E52-E53</f>
        <v>27100</v>
      </c>
      <c r="F54" s="12">
        <f>F52-F53</f>
        <v>34900</v>
      </c>
      <c r="G54" s="12">
        <f>G52-G53</f>
        <v>55400</v>
      </c>
      <c r="H54" s="12">
        <f>SUM(D54:G54)</f>
        <v>138100</v>
      </c>
    </row>
    <row r="56" ht="15.75">
      <c r="A56" s="9" t="s">
        <v>106</v>
      </c>
    </row>
    <row r="58" spans="4:8" ht="12.75">
      <c r="D58" s="11" t="s">
        <v>74</v>
      </c>
      <c r="E58" s="11" t="s">
        <v>75</v>
      </c>
      <c r="F58" s="11" t="s">
        <v>76</v>
      </c>
      <c r="G58" s="11" t="s">
        <v>77</v>
      </c>
      <c r="H58" s="11" t="s">
        <v>78</v>
      </c>
    </row>
    <row r="59" spans="1:7" ht="12.75">
      <c r="A59" t="s">
        <v>107</v>
      </c>
      <c r="D59" s="16">
        <v>1.5</v>
      </c>
      <c r="E59" s="16">
        <v>1.5</v>
      </c>
      <c r="F59" s="16">
        <v>1.4</v>
      </c>
      <c r="G59" s="16">
        <v>1.38</v>
      </c>
    </row>
    <row r="60" spans="1:8" ht="12.75">
      <c r="A60" t="s">
        <v>108</v>
      </c>
      <c r="D60" s="12">
        <f>D54*D59</f>
        <v>31050</v>
      </c>
      <c r="E60" s="12">
        <f>E54*E59</f>
        <v>40650</v>
      </c>
      <c r="F60" s="12">
        <f>F54*F59</f>
        <v>48860</v>
      </c>
      <c r="G60" s="12">
        <f>G54*G59</f>
        <v>76452</v>
      </c>
      <c r="H60" s="12">
        <f>SUM(D60:G60)</f>
        <v>197012</v>
      </c>
    </row>
    <row r="61" spans="1:8" ht="12.75">
      <c r="A61" t="s">
        <v>102</v>
      </c>
      <c r="D61" s="12">
        <v>4800</v>
      </c>
      <c r="E61" s="12">
        <v>5500</v>
      </c>
      <c r="F61" s="12">
        <v>7100</v>
      </c>
      <c r="G61" s="12">
        <v>10400</v>
      </c>
      <c r="H61" s="12">
        <f>SUM(D61:G61)</f>
        <v>27800</v>
      </c>
    </row>
    <row r="62" spans="1:8" ht="12.75">
      <c r="A62" t="s">
        <v>109</v>
      </c>
      <c r="D62" s="12">
        <f>SUM(D60:D61)</f>
        <v>35850</v>
      </c>
      <c r="E62" s="12">
        <f>SUM(E60:E61)</f>
        <v>46150</v>
      </c>
      <c r="F62" s="12">
        <f>SUM(F60:F61)</f>
        <v>55960</v>
      </c>
      <c r="G62" s="12">
        <f>SUM(G60:G61)</f>
        <v>86852</v>
      </c>
      <c r="H62" s="12">
        <f>SUM(D62:G62)</f>
        <v>224812</v>
      </c>
    </row>
    <row r="63" spans="1:8" ht="12.75">
      <c r="A63" t="s">
        <v>103</v>
      </c>
      <c r="D63" s="12">
        <v>5000</v>
      </c>
      <c r="E63" s="12">
        <f>D61</f>
        <v>4800</v>
      </c>
      <c r="F63" s="12">
        <f>E61</f>
        <v>5500</v>
      </c>
      <c r="G63" s="12">
        <f>F61</f>
        <v>7100</v>
      </c>
      <c r="H63" s="12">
        <f>SUM(D63:G63)</f>
        <v>22400</v>
      </c>
    </row>
    <row r="64" spans="1:8" ht="12.75">
      <c r="A64" t="s">
        <v>110</v>
      </c>
      <c r="D64" s="12">
        <f>D62-D63</f>
        <v>30850</v>
      </c>
      <c r="E64" s="12">
        <f>E62-E63</f>
        <v>41350</v>
      </c>
      <c r="F64" s="12">
        <f>F62-F63</f>
        <v>50460</v>
      </c>
      <c r="G64" s="12">
        <f>G62-G63</f>
        <v>79752</v>
      </c>
      <c r="H64" s="12">
        <f>SUM(D64:G64)</f>
        <v>202412</v>
      </c>
    </row>
    <row r="65" spans="1:8" ht="12.75">
      <c r="A65" t="s">
        <v>111</v>
      </c>
      <c r="D65" s="18">
        <v>1.2</v>
      </c>
      <c r="E65" s="18">
        <v>1.15</v>
      </c>
      <c r="F65" s="18">
        <v>1.05</v>
      </c>
      <c r="G65" s="18">
        <v>1</v>
      </c>
      <c r="H65" s="17"/>
    </row>
    <row r="66" spans="1:8" ht="12.75">
      <c r="A66" t="s">
        <v>112</v>
      </c>
      <c r="D66" s="5">
        <f>D64*D65</f>
        <v>37020</v>
      </c>
      <c r="E66" s="5">
        <f>E64*E65</f>
        <v>47552.49999999999</v>
      </c>
      <c r="F66" s="5">
        <f>F64*F65</f>
        <v>52983</v>
      </c>
      <c r="G66" s="5">
        <f>G64*G65</f>
        <v>79752</v>
      </c>
      <c r="H66" s="5">
        <f>SUM(D66:G66)</f>
        <v>217307.5</v>
      </c>
    </row>
    <row r="68" ht="15.75">
      <c r="A68" s="9" t="s">
        <v>113</v>
      </c>
    </row>
    <row r="70" spans="1:7" ht="12.75">
      <c r="A70" t="s">
        <v>114</v>
      </c>
      <c r="D70">
        <v>0.6</v>
      </c>
      <c r="E70">
        <v>0.6</v>
      </c>
      <c r="F70">
        <v>0.5</v>
      </c>
      <c r="G70">
        <v>0.5</v>
      </c>
    </row>
    <row r="71" spans="1:8" ht="12.75">
      <c r="A71" t="s">
        <v>115</v>
      </c>
      <c r="D71" s="12">
        <f>D54*D70</f>
        <v>12420</v>
      </c>
      <c r="E71" s="12">
        <f>E54*E70</f>
        <v>16260</v>
      </c>
      <c r="F71" s="12">
        <f>F54*F70</f>
        <v>17450</v>
      </c>
      <c r="G71" s="12">
        <f>G54*G70</f>
        <v>27700</v>
      </c>
      <c r="H71" s="12">
        <f>SUM(D71:G71)</f>
        <v>73830</v>
      </c>
    </row>
    <row r="72" spans="1:8" ht="12.75">
      <c r="A72" t="s">
        <v>116</v>
      </c>
      <c r="D72" s="18">
        <v>10.1</v>
      </c>
      <c r="E72" s="18">
        <v>10.1</v>
      </c>
      <c r="F72" s="18">
        <v>10.25</v>
      </c>
      <c r="G72" s="18">
        <v>10.25</v>
      </c>
      <c r="H72" s="17"/>
    </row>
    <row r="73" spans="1:8" ht="12.75">
      <c r="A73" t="s">
        <v>117</v>
      </c>
      <c r="D73" s="5">
        <f>D71*D72</f>
        <v>125442</v>
      </c>
      <c r="E73" s="5">
        <f>E71*E72</f>
        <v>164226</v>
      </c>
      <c r="F73" s="5">
        <f>F71*F72</f>
        <v>178862.5</v>
      </c>
      <c r="G73" s="5">
        <f>G71*G72</f>
        <v>283925</v>
      </c>
      <c r="H73" s="5">
        <f>SUM(D73:G73)</f>
        <v>752455.5</v>
      </c>
    </row>
    <row r="75" ht="15.75">
      <c r="A75" s="9" t="s">
        <v>118</v>
      </c>
    </row>
    <row r="77" spans="1:4" ht="12.75">
      <c r="A77" s="19" t="s">
        <v>123</v>
      </c>
      <c r="B77" s="19"/>
      <c r="C77" s="19"/>
      <c r="D77" s="19"/>
    </row>
    <row r="79" spans="2:8" ht="12.75">
      <c r="B79" t="s">
        <v>121</v>
      </c>
      <c r="H79" s="5">
        <v>90000</v>
      </c>
    </row>
    <row r="80" spans="2:8" ht="12.75">
      <c r="B80" t="s">
        <v>122</v>
      </c>
      <c r="H80" s="12">
        <v>112000</v>
      </c>
    </row>
    <row r="81" spans="2:10" ht="12.75">
      <c r="B81" t="s">
        <v>126</v>
      </c>
      <c r="H81" s="15">
        <v>42000</v>
      </c>
      <c r="I81" s="4" t="s">
        <v>140</v>
      </c>
      <c r="J81" s="4" t="s">
        <v>141</v>
      </c>
    </row>
    <row r="82" spans="5:10" ht="12.75">
      <c r="E82" t="s">
        <v>124</v>
      </c>
      <c r="H82" s="12">
        <f>SUM(H79:H81)</f>
        <v>244000</v>
      </c>
      <c r="I82" s="12">
        <f>H71</f>
        <v>73830</v>
      </c>
      <c r="J82" s="13">
        <f>H82/I82</f>
        <v>3.304889611269132</v>
      </c>
    </row>
    <row r="83" spans="2:8" ht="12.75">
      <c r="B83" t="s">
        <v>125</v>
      </c>
      <c r="H83" s="12">
        <v>46000</v>
      </c>
    </row>
    <row r="84" spans="2:8" ht="12.75">
      <c r="B84" t="s">
        <v>127</v>
      </c>
      <c r="H84" s="15">
        <v>98000</v>
      </c>
    </row>
    <row r="85" spans="5:10" ht="12.75">
      <c r="E85" t="s">
        <v>128</v>
      </c>
      <c r="H85" s="12">
        <f>SUM(H83:H84)</f>
        <v>144000</v>
      </c>
      <c r="I85">
        <v>4</v>
      </c>
      <c r="J85" s="12">
        <f>H85/I85</f>
        <v>36000</v>
      </c>
    </row>
    <row r="86" ht="12.75">
      <c r="H86" s="12"/>
    </row>
    <row r="87" spans="5:8" ht="12.75">
      <c r="E87" s="6" t="s">
        <v>129</v>
      </c>
      <c r="F87" s="6"/>
      <c r="G87" s="6"/>
      <c r="H87" s="5">
        <f>H82+H85</f>
        <v>388000</v>
      </c>
    </row>
    <row r="88" spans="5:8" ht="12.75">
      <c r="E88" s="6"/>
      <c r="F88" s="6"/>
      <c r="G88" s="6"/>
      <c r="H88" s="5"/>
    </row>
    <row r="90" spans="2:6" ht="12.75">
      <c r="B90" s="20" t="s">
        <v>130</v>
      </c>
      <c r="C90" s="21"/>
      <c r="D90" s="21"/>
      <c r="E90" s="21"/>
      <c r="F90" s="22">
        <f>H66</f>
        <v>217307.5</v>
      </c>
    </row>
    <row r="91" spans="2:6" ht="12.75">
      <c r="B91" s="23" t="s">
        <v>131</v>
      </c>
      <c r="C91" s="24"/>
      <c r="D91" s="24"/>
      <c r="E91" s="24"/>
      <c r="F91" s="25">
        <f>H73</f>
        <v>752455.5</v>
      </c>
    </row>
    <row r="92" spans="2:7" ht="12.75">
      <c r="B92" s="23" t="s">
        <v>132</v>
      </c>
      <c r="C92" s="24"/>
      <c r="D92" s="24"/>
      <c r="E92" s="24"/>
      <c r="F92" s="25">
        <f>H87</f>
        <v>388000</v>
      </c>
      <c r="G92" s="5" t="s">
        <v>134</v>
      </c>
    </row>
    <row r="93" spans="2:8" ht="12.75">
      <c r="B93" s="26"/>
      <c r="C93" s="27" t="s">
        <v>133</v>
      </c>
      <c r="D93" s="27"/>
      <c r="E93" s="27"/>
      <c r="F93" s="28">
        <f>SUM(F90:F92)</f>
        <v>1357763</v>
      </c>
      <c r="G93" s="5" t="s">
        <v>134</v>
      </c>
      <c r="H93" s="5" t="s">
        <v>134</v>
      </c>
    </row>
    <row r="96" spans="4:8" ht="12.75">
      <c r="D96" s="11" t="s">
        <v>74</v>
      </c>
      <c r="E96" s="11" t="s">
        <v>75</v>
      </c>
      <c r="F96" s="11" t="s">
        <v>76</v>
      </c>
      <c r="G96" s="11" t="s">
        <v>77</v>
      </c>
      <c r="H96" s="11" t="s">
        <v>78</v>
      </c>
    </row>
    <row r="97" ht="12.75">
      <c r="A97" t="s">
        <v>137</v>
      </c>
    </row>
    <row r="99" spans="1:7" ht="12.75">
      <c r="A99" t="s">
        <v>138</v>
      </c>
      <c r="D99" s="12">
        <f>D71</f>
        <v>12420</v>
      </c>
      <c r="E99" s="12">
        <f>E71</f>
        <v>16260</v>
      </c>
      <c r="F99" s="12">
        <f>F71</f>
        <v>17450</v>
      </c>
      <c r="G99" s="12">
        <f>G71</f>
        <v>27700</v>
      </c>
    </row>
    <row r="100" spans="1:7" ht="12.75">
      <c r="A100" t="s">
        <v>139</v>
      </c>
      <c r="D100" s="13">
        <f>$J$82</f>
        <v>3.304889611269132</v>
      </c>
      <c r="E100" s="13">
        <f>$J$82</f>
        <v>3.304889611269132</v>
      </c>
      <c r="F100" s="13">
        <f>$J$82</f>
        <v>3.304889611269132</v>
      </c>
      <c r="G100" s="13">
        <f>$J$82</f>
        <v>3.304889611269132</v>
      </c>
    </row>
    <row r="101" spans="1:8" ht="12.75">
      <c r="A101" t="s">
        <v>142</v>
      </c>
      <c r="D101" s="12">
        <f>D99*D100</f>
        <v>41046.72897196262</v>
      </c>
      <c r="E101" s="12">
        <f>E99*E100</f>
        <v>53737.505079236085</v>
      </c>
      <c r="F101" s="12">
        <f>F99*F100</f>
        <v>57670.32371664635</v>
      </c>
      <c r="G101" s="12">
        <f>G99*G100</f>
        <v>91545.44223215495</v>
      </c>
      <c r="H101" s="12">
        <f>SUM(D101:G101)</f>
        <v>244000</v>
      </c>
    </row>
    <row r="102" spans="1:8" ht="12.75">
      <c r="A102" t="s">
        <v>143</v>
      </c>
      <c r="D102" s="15">
        <f>$J$85</f>
        <v>36000</v>
      </c>
      <c r="E102" s="15">
        <f>$J$85</f>
        <v>36000</v>
      </c>
      <c r="F102" s="15">
        <f>$J$85</f>
        <v>36000</v>
      </c>
      <c r="G102" s="15">
        <f>$J$85</f>
        <v>36000</v>
      </c>
      <c r="H102" s="15">
        <f>SUM(D102:G102)</f>
        <v>144000</v>
      </c>
    </row>
    <row r="103" spans="2:8" ht="12.75">
      <c r="B103" t="s">
        <v>144</v>
      </c>
      <c r="D103" s="12">
        <f>SUM(D101:D102)</f>
        <v>77046.72897196261</v>
      </c>
      <c r="E103" s="12">
        <f>SUM(E101:E102)</f>
        <v>89737.50507923609</v>
      </c>
      <c r="F103" s="12">
        <f>SUM(F101:F102)</f>
        <v>93670.32371664635</v>
      </c>
      <c r="G103" s="12">
        <f>SUM(G101:G102)</f>
        <v>127545.44223215495</v>
      </c>
      <c r="H103" s="12">
        <f>SUM(H101:H102)</f>
        <v>388000</v>
      </c>
    </row>
    <row r="105" ht="15.75">
      <c r="A105" s="9" t="s">
        <v>147</v>
      </c>
    </row>
    <row r="107" spans="1:8" ht="12.75">
      <c r="A107" t="s">
        <v>148</v>
      </c>
      <c r="D107" s="12">
        <f>D50</f>
        <v>21600</v>
      </c>
      <c r="E107" s="12">
        <f>E50</f>
        <v>26600</v>
      </c>
      <c r="F107" s="12">
        <f>F50</f>
        <v>33700</v>
      </c>
      <c r="G107" s="12">
        <f>G50</f>
        <v>53900</v>
      </c>
      <c r="H107" s="12">
        <f aca="true" t="shared" si="0" ref="H107:H112">SUM(D107:G107)</f>
        <v>135800</v>
      </c>
    </row>
    <row r="108" spans="1:10" ht="12.75">
      <c r="A108" t="s">
        <v>149</v>
      </c>
      <c r="D108" s="5">
        <f>D107*$J$108</f>
        <v>62986.74521354934</v>
      </c>
      <c r="E108" s="5">
        <f>E107*$J$108</f>
        <v>77567.01030927835</v>
      </c>
      <c r="F108" s="5">
        <f>F107*$J$108</f>
        <v>98270.98674521355</v>
      </c>
      <c r="G108" s="5">
        <f>G107*$J$108</f>
        <v>157175.25773195876</v>
      </c>
      <c r="H108" s="5">
        <f t="shared" si="0"/>
        <v>396000</v>
      </c>
      <c r="I108" s="5">
        <f>'1 - Forecasting'!G23</f>
        <v>396000</v>
      </c>
      <c r="J108" s="13">
        <f>I108/H107</f>
        <v>2.9160530191458025</v>
      </c>
    </row>
    <row r="109" spans="1:10" ht="12.75">
      <c r="A109" t="s">
        <v>150</v>
      </c>
      <c r="D109" s="5">
        <f>D107*$J$109</f>
        <v>45808.54197349043</v>
      </c>
      <c r="E109" s="5">
        <f>E107*$J$109</f>
        <v>56412.37113402062</v>
      </c>
      <c r="F109" s="5">
        <f>F107*$J$109</f>
        <v>71469.80854197349</v>
      </c>
      <c r="G109" s="5">
        <f>G107*$J$109</f>
        <v>114309.27835051547</v>
      </c>
      <c r="H109" s="5">
        <f t="shared" si="0"/>
        <v>288000</v>
      </c>
      <c r="I109" s="5">
        <f>'1 - Forecasting'!G24</f>
        <v>288000</v>
      </c>
      <c r="J109" s="13">
        <f>I109/H107</f>
        <v>2.1207658321060383</v>
      </c>
    </row>
    <row r="110" spans="1:10" ht="12.75">
      <c r="A110" t="s">
        <v>151</v>
      </c>
      <c r="D110" s="5">
        <f>$J$110</f>
        <v>122525</v>
      </c>
      <c r="E110" s="5">
        <f>$J$110</f>
        <v>122525</v>
      </c>
      <c r="F110" s="5">
        <f>$J$110</f>
        <v>122525</v>
      </c>
      <c r="G110" s="5">
        <f>$J$110</f>
        <v>122525</v>
      </c>
      <c r="H110" s="5">
        <f t="shared" si="0"/>
        <v>490100</v>
      </c>
      <c r="I110" s="5">
        <f>'1 - Forecasting'!G29</f>
        <v>490100</v>
      </c>
      <c r="J110" s="5">
        <f>I110/4</f>
        <v>122525</v>
      </c>
    </row>
    <row r="111" spans="1:10" ht="12.75">
      <c r="A111" t="s">
        <v>152</v>
      </c>
      <c r="D111" s="14">
        <f>$J$111</f>
        <v>78100</v>
      </c>
      <c r="E111" s="14">
        <f>$J$111</f>
        <v>78100</v>
      </c>
      <c r="F111" s="14">
        <f>$J$111</f>
        <v>78100</v>
      </c>
      <c r="G111" s="14">
        <f>$J$111</f>
        <v>78100</v>
      </c>
      <c r="H111" s="14">
        <f t="shared" si="0"/>
        <v>312400</v>
      </c>
      <c r="I111" s="5">
        <f>'1 - Forecasting'!G30</f>
        <v>312400</v>
      </c>
      <c r="J111" s="5">
        <f>I111/4</f>
        <v>78100</v>
      </c>
    </row>
    <row r="112" spans="2:9" ht="12.75">
      <c r="B112" t="s">
        <v>153</v>
      </c>
      <c r="D112" s="5">
        <f>SUM(D108:D111)</f>
        <v>309420.28718703974</v>
      </c>
      <c r="E112" s="5">
        <f>SUM(E108:E111)</f>
        <v>334604.381443299</v>
      </c>
      <c r="F112" s="5">
        <f>SUM(F108:F111)</f>
        <v>370365.79528718704</v>
      </c>
      <c r="G112" s="5">
        <f>SUM(G108:G111)</f>
        <v>472109.5360824742</v>
      </c>
      <c r="H112" s="5">
        <f t="shared" si="0"/>
        <v>1486500</v>
      </c>
      <c r="I112" s="5">
        <f>SUM(I108:I111)</f>
        <v>1486500</v>
      </c>
    </row>
  </sheetData>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I252"/>
  <sheetViews>
    <sheetView workbookViewId="0" topLeftCell="A241">
      <selection activeCell="A3" sqref="A3"/>
    </sheetView>
  </sheetViews>
  <sheetFormatPr defaultColWidth="9.140625" defaultRowHeight="12.75"/>
  <cols>
    <col min="2" max="3" width="11.7109375" style="0" customWidth="1"/>
    <col min="4" max="4" width="11.00390625" style="0" customWidth="1"/>
    <col min="5" max="5" width="11.8515625" style="0" customWidth="1"/>
    <col min="6" max="6" width="11.140625" style="0" customWidth="1"/>
    <col min="7" max="7" width="13.7109375" style="0" customWidth="1"/>
    <col min="8" max="8" width="11.57421875" style="0" customWidth="1"/>
  </cols>
  <sheetData>
    <row r="1" spans="1:9" ht="15.75">
      <c r="A1" s="1"/>
      <c r="B1" s="2" t="s">
        <v>242</v>
      </c>
      <c r="C1" s="1"/>
      <c r="D1" s="1"/>
      <c r="E1" s="1"/>
      <c r="F1" s="1"/>
      <c r="G1" s="1"/>
      <c r="H1" s="1"/>
      <c r="I1" s="1"/>
    </row>
    <row r="2" spans="1:9" ht="15.75">
      <c r="A2" s="1"/>
      <c r="B2" s="2" t="s">
        <v>145</v>
      </c>
      <c r="C2" s="1"/>
      <c r="D2" s="1"/>
      <c r="E2" s="1"/>
      <c r="F2" s="1"/>
      <c r="G2" s="1"/>
      <c r="H2" s="1"/>
      <c r="I2" s="1"/>
    </row>
    <row r="4" ht="12.75">
      <c r="A4" t="s">
        <v>178</v>
      </c>
    </row>
    <row r="5" ht="12.75">
      <c r="A5" t="s">
        <v>265</v>
      </c>
    </row>
    <row r="7" ht="15.75">
      <c r="A7" s="9" t="s">
        <v>179</v>
      </c>
    </row>
    <row r="8" ht="12" customHeight="1">
      <c r="A8" s="9"/>
    </row>
    <row r="9" ht="12.75">
      <c r="A9" t="s">
        <v>146</v>
      </c>
    </row>
    <row r="11" ht="12.75">
      <c r="A11" t="s">
        <v>160</v>
      </c>
    </row>
    <row r="12" ht="12.75">
      <c r="A12" t="s">
        <v>154</v>
      </c>
    </row>
    <row r="13" ht="12.75">
      <c r="A13" t="s">
        <v>155</v>
      </c>
    </row>
    <row r="15" ht="12.75">
      <c r="B15" s="19" t="s">
        <v>156</v>
      </c>
    </row>
    <row r="17" ht="12.75">
      <c r="B17" t="s">
        <v>157</v>
      </c>
    </row>
    <row r="18" spans="3:6" ht="12.75">
      <c r="C18" s="11" t="s">
        <v>141</v>
      </c>
      <c r="D18" s="11" t="s">
        <v>158</v>
      </c>
      <c r="E18" s="11" t="s">
        <v>159</v>
      </c>
      <c r="F18" s="11" t="s">
        <v>163</v>
      </c>
    </row>
    <row r="19" spans="3:6" ht="12.75">
      <c r="C19">
        <v>0.07</v>
      </c>
      <c r="D19">
        <v>3</v>
      </c>
      <c r="E19" s="29">
        <v>200000</v>
      </c>
      <c r="F19" s="5">
        <f>C19*D19*E19</f>
        <v>42000.00000000001</v>
      </c>
    </row>
    <row r="21" spans="2:6" ht="12.75">
      <c r="B21" t="s">
        <v>161</v>
      </c>
      <c r="F21" s="5">
        <v>35000</v>
      </c>
    </row>
    <row r="22" ht="12.75">
      <c r="F22" s="5"/>
    </row>
    <row r="23" spans="4:6" ht="12.75">
      <c r="D23" t="s">
        <v>162</v>
      </c>
      <c r="F23" s="5">
        <f>F19-F21</f>
        <v>7000.000000000007</v>
      </c>
    </row>
    <row r="24" ht="12.75">
      <c r="F24" s="5"/>
    </row>
    <row r="25" ht="12.75">
      <c r="F25" s="5"/>
    </row>
    <row r="26" spans="1:6" ht="12.75">
      <c r="A26" t="s">
        <v>164</v>
      </c>
      <c r="F26" s="5"/>
    </row>
    <row r="28" ht="12.75">
      <c r="B28" t="s">
        <v>165</v>
      </c>
    </row>
    <row r="30" spans="3:4" ht="12.75">
      <c r="C30">
        <v>0.02</v>
      </c>
      <c r="D30">
        <v>360</v>
      </c>
    </row>
    <row r="31" spans="3:4" ht="12.75">
      <c r="C31">
        <f>1-0.02</f>
        <v>0.98</v>
      </c>
      <c r="D31">
        <v>30</v>
      </c>
    </row>
    <row r="32" spans="3:5" ht="12.75">
      <c r="C32">
        <f>C30/C31</f>
        <v>0.020408163265306124</v>
      </c>
      <c r="D32">
        <f>D30/D31</f>
        <v>12</v>
      </c>
      <c r="E32" s="30">
        <f>C32*D32</f>
        <v>0.2448979591836735</v>
      </c>
    </row>
    <row r="35" ht="12.75">
      <c r="A35" t="s">
        <v>166</v>
      </c>
    </row>
    <row r="37" spans="2:6" ht="12.75">
      <c r="B37" t="s">
        <v>134</v>
      </c>
      <c r="D37" s="31" t="s">
        <v>167</v>
      </c>
      <c r="F37" t="s">
        <v>169</v>
      </c>
    </row>
    <row r="38" spans="4:6" ht="12.75">
      <c r="D38" s="32" t="s">
        <v>168</v>
      </c>
      <c r="F38" t="s">
        <v>170</v>
      </c>
    </row>
    <row r="39" spans="4:6" ht="12.75">
      <c r="D39" s="33" t="s">
        <v>173</v>
      </c>
      <c r="F39" t="s">
        <v>171</v>
      </c>
    </row>
    <row r="40" ht="12.75">
      <c r="F40" t="s">
        <v>172</v>
      </c>
    </row>
    <row r="42" ht="12.75">
      <c r="B42" t="s">
        <v>174</v>
      </c>
    </row>
    <row r="43" ht="12.75">
      <c r="B43" t="s">
        <v>177</v>
      </c>
    </row>
    <row r="45" ht="12.75">
      <c r="B45" t="s">
        <v>175</v>
      </c>
    </row>
    <row r="46" ht="12.75">
      <c r="B46" t="s">
        <v>182</v>
      </c>
    </row>
    <row r="48" spans="2:7" ht="12.75">
      <c r="B48" t="s">
        <v>134</v>
      </c>
      <c r="D48">
        <v>2</v>
      </c>
      <c r="E48" s="29">
        <v>100</v>
      </c>
      <c r="F48" s="29">
        <v>5000</v>
      </c>
      <c r="G48" s="29">
        <f>D48*E48*F48</f>
        <v>1000000</v>
      </c>
    </row>
    <row r="49" spans="5:7" ht="12.75">
      <c r="E49">
        <v>0.08</v>
      </c>
      <c r="F49">
        <v>12</v>
      </c>
      <c r="G49" s="30">
        <f>E49/F49</f>
        <v>0.006666666666666667</v>
      </c>
    </row>
    <row r="50" ht="12.75">
      <c r="G50" s="29">
        <f>G48/G49</f>
        <v>150000000</v>
      </c>
    </row>
    <row r="51" spans="5:7" ht="12.75">
      <c r="E51" s="6" t="s">
        <v>176</v>
      </c>
      <c r="G51" s="34">
        <f>SQRT(G50)</f>
        <v>12247.44871391589</v>
      </c>
    </row>
    <row r="53" spans="2:7" ht="12.75">
      <c r="B53" t="s">
        <v>134</v>
      </c>
      <c r="E53" s="6" t="s">
        <v>181</v>
      </c>
      <c r="G53" s="34">
        <f>G51/2</f>
        <v>6123.724356957945</v>
      </c>
    </row>
    <row r="56" ht="15.75">
      <c r="A56" s="9" t="s">
        <v>180</v>
      </c>
    </row>
    <row r="58" ht="12.75">
      <c r="A58" t="s">
        <v>183</v>
      </c>
    </row>
    <row r="60" ht="12.75">
      <c r="B60" t="s">
        <v>184</v>
      </c>
    </row>
    <row r="62" spans="4:6" ht="12.75">
      <c r="D62" s="4" t="s">
        <v>185</v>
      </c>
      <c r="E62" s="4" t="s">
        <v>187</v>
      </c>
      <c r="F62" s="4" t="s">
        <v>189</v>
      </c>
    </row>
    <row r="63" spans="4:6" ht="12.75">
      <c r="D63" s="11" t="s">
        <v>186</v>
      </c>
      <c r="E63" s="11" t="s">
        <v>188</v>
      </c>
      <c r="F63" s="11" t="s">
        <v>141</v>
      </c>
    </row>
    <row r="64" spans="4:6" ht="12.75">
      <c r="D64">
        <v>360</v>
      </c>
      <c r="E64">
        <v>60</v>
      </c>
      <c r="F64">
        <f>D64/E64</f>
        <v>6</v>
      </c>
    </row>
    <row r="66" ht="12.75">
      <c r="B66" t="s">
        <v>190</v>
      </c>
    </row>
    <row r="68" spans="4:6" ht="12.75">
      <c r="D68" s="11" t="s">
        <v>191</v>
      </c>
      <c r="E68" s="11" t="s">
        <v>189</v>
      </c>
      <c r="F68" s="11" t="s">
        <v>192</v>
      </c>
    </row>
    <row r="69" spans="4:6" ht="12.75">
      <c r="D69" s="5">
        <v>600000</v>
      </c>
      <c r="E69">
        <f>F64</f>
        <v>6</v>
      </c>
      <c r="F69" s="5">
        <f>D69/E69</f>
        <v>100000</v>
      </c>
    </row>
    <row r="71" ht="12.75">
      <c r="A71" t="s">
        <v>201</v>
      </c>
    </row>
    <row r="73" ht="12.75">
      <c r="B73" t="s">
        <v>193</v>
      </c>
    </row>
    <row r="74" ht="12.75">
      <c r="B74" t="s">
        <v>194</v>
      </c>
    </row>
    <row r="76" spans="3:7" ht="12.75">
      <c r="C76" t="s">
        <v>200</v>
      </c>
      <c r="G76" s="5">
        <f>100000*0.55</f>
        <v>55000.00000000001</v>
      </c>
    </row>
    <row r="78" ht="12.75">
      <c r="B78" t="s">
        <v>195</v>
      </c>
    </row>
    <row r="79" ht="12.75">
      <c r="B79" t="s">
        <v>196</v>
      </c>
    </row>
    <row r="81" spans="3:7" ht="12.75">
      <c r="C81" t="s">
        <v>197</v>
      </c>
      <c r="G81" s="5">
        <f>F69</f>
        <v>100000</v>
      </c>
    </row>
    <row r="82" spans="3:7" ht="12.75">
      <c r="C82" t="s">
        <v>198</v>
      </c>
      <c r="G82" s="35">
        <v>2</v>
      </c>
    </row>
    <row r="83" spans="3:7" ht="12.75">
      <c r="C83" t="s">
        <v>208</v>
      </c>
      <c r="G83" s="5">
        <f>G81*G82</f>
        <v>200000</v>
      </c>
    </row>
    <row r="84" spans="3:7" ht="12.75">
      <c r="C84" t="s">
        <v>199</v>
      </c>
      <c r="G84" s="36">
        <v>0.55</v>
      </c>
    </row>
    <row r="85" spans="3:7" ht="12.75">
      <c r="C85" t="s">
        <v>209</v>
      </c>
      <c r="G85" s="5">
        <f>G83*G84</f>
        <v>110000.00000000001</v>
      </c>
    </row>
    <row r="87" ht="12.75">
      <c r="A87" t="s">
        <v>202</v>
      </c>
    </row>
    <row r="89" spans="2:7" ht="12.75">
      <c r="B89" t="s">
        <v>203</v>
      </c>
      <c r="G89" s="5">
        <f>D69</f>
        <v>600000</v>
      </c>
    </row>
    <row r="90" spans="2:8" ht="12.75">
      <c r="B90" t="s">
        <v>204</v>
      </c>
      <c r="G90">
        <v>60</v>
      </c>
      <c r="H90" t="s">
        <v>205</v>
      </c>
    </row>
    <row r="91" spans="2:7" ht="12.75">
      <c r="B91" t="s">
        <v>206</v>
      </c>
      <c r="G91" t="s">
        <v>207</v>
      </c>
    </row>
    <row r="92" spans="2:7" ht="12.75">
      <c r="B92" t="s">
        <v>210</v>
      </c>
      <c r="G92" s="5">
        <f>G83</f>
        <v>200000</v>
      </c>
    </row>
    <row r="94" ht="12.75">
      <c r="B94" t="s">
        <v>211</v>
      </c>
    </row>
    <row r="95" ht="12.75">
      <c r="B95" t="s">
        <v>212</v>
      </c>
    </row>
    <row r="96" ht="12.75">
      <c r="B96" t="s">
        <v>213</v>
      </c>
    </row>
    <row r="98" spans="2:7" ht="12.75">
      <c r="B98" t="s">
        <v>214</v>
      </c>
      <c r="E98" t="s">
        <v>134</v>
      </c>
      <c r="F98" s="37">
        <v>0.3</v>
      </c>
      <c r="G98" s="5">
        <f>F98*G92</f>
        <v>60000</v>
      </c>
    </row>
    <row r="99" spans="5:7" ht="12.75">
      <c r="E99" t="s">
        <v>216</v>
      </c>
      <c r="G99" s="37">
        <v>0.06</v>
      </c>
    </row>
    <row r="100" spans="5:7" ht="12.75">
      <c r="E100" t="s">
        <v>215</v>
      </c>
      <c r="G100" s="5">
        <f>G98*G99</f>
        <v>3600</v>
      </c>
    </row>
    <row r="102" spans="2:7" ht="12.75">
      <c r="B102" t="s">
        <v>217</v>
      </c>
      <c r="G102" s="5">
        <f>G89</f>
        <v>600000</v>
      </c>
    </row>
    <row r="103" spans="5:7" ht="12.75">
      <c r="E103" t="s">
        <v>219</v>
      </c>
      <c r="G103">
        <v>0.02</v>
      </c>
    </row>
    <row r="104" spans="5:7" ht="12.75">
      <c r="E104" t="s">
        <v>218</v>
      </c>
      <c r="G104" s="5">
        <f>G102*G103</f>
        <v>12000</v>
      </c>
    </row>
    <row r="106" spans="5:7" ht="12.75">
      <c r="E106" t="s">
        <v>162</v>
      </c>
      <c r="G106" s="5">
        <f>G100-G104</f>
        <v>-8400</v>
      </c>
    </row>
    <row r="107" ht="12.75">
      <c r="C107" s="38" t="s">
        <v>221</v>
      </c>
    </row>
    <row r="108" ht="12.75">
      <c r="C108" s="38" t="s">
        <v>222</v>
      </c>
    </row>
    <row r="111" ht="15.75">
      <c r="A111" s="9" t="s">
        <v>223</v>
      </c>
    </row>
    <row r="113" ht="12.75">
      <c r="A113" t="s">
        <v>224</v>
      </c>
    </row>
    <row r="115" spans="2:6" ht="12.75">
      <c r="B115" t="s">
        <v>225</v>
      </c>
      <c r="D115" t="s">
        <v>134</v>
      </c>
      <c r="E115" s="12">
        <v>12000</v>
      </c>
      <c r="F115" t="s">
        <v>231</v>
      </c>
    </row>
    <row r="116" spans="2:5" ht="12.75">
      <c r="B116" t="s">
        <v>226</v>
      </c>
      <c r="E116" s="39">
        <v>150</v>
      </c>
    </row>
    <row r="117" spans="2:5" ht="12.75">
      <c r="B117" t="s">
        <v>227</v>
      </c>
      <c r="E117" s="39">
        <v>240</v>
      </c>
    </row>
    <row r="118" spans="2:6" ht="12.75">
      <c r="B118" t="s">
        <v>228</v>
      </c>
      <c r="E118" s="39">
        <v>84</v>
      </c>
      <c r="F118" t="s">
        <v>232</v>
      </c>
    </row>
    <row r="119" spans="2:5" ht="12.75">
      <c r="B119" t="s">
        <v>230</v>
      </c>
      <c r="E119" s="40">
        <v>2</v>
      </c>
    </row>
    <row r="121" spans="2:5" ht="12.75">
      <c r="B121" t="s">
        <v>229</v>
      </c>
      <c r="E121" s="41">
        <f>SQRT(E119*E115*E116/E118)</f>
        <v>207.01966780270627</v>
      </c>
    </row>
    <row r="123" ht="12.75">
      <c r="B123" t="s">
        <v>233</v>
      </c>
    </row>
    <row r="124" spans="2:6" ht="12.75">
      <c r="B124" t="s">
        <v>234</v>
      </c>
      <c r="F124" s="42">
        <v>200</v>
      </c>
    </row>
    <row r="126" spans="1:5" ht="12.75">
      <c r="A126" t="s">
        <v>235</v>
      </c>
      <c r="E126">
        <f>E115/F124</f>
        <v>60</v>
      </c>
    </row>
    <row r="128" spans="1:5" ht="12.75">
      <c r="A128" t="s">
        <v>236</v>
      </c>
      <c r="E128" s="13">
        <f>E116*E126</f>
        <v>9000</v>
      </c>
    </row>
    <row r="129" ht="12.75">
      <c r="B129" t="s">
        <v>134</v>
      </c>
    </row>
    <row r="130" spans="1:5" ht="12.75">
      <c r="A130" t="s">
        <v>237</v>
      </c>
      <c r="E130">
        <f>F124/E119</f>
        <v>100</v>
      </c>
    </row>
    <row r="132" spans="1:5" ht="12.75">
      <c r="A132" t="s">
        <v>238</v>
      </c>
      <c r="E132" s="13">
        <f>E130*E118</f>
        <v>8400</v>
      </c>
    </row>
    <row r="134" spans="1:5" ht="12.75">
      <c r="A134" t="s">
        <v>239</v>
      </c>
      <c r="E134" s="13">
        <f>E128+E132</f>
        <v>17400</v>
      </c>
    </row>
    <row r="136" ht="12.75">
      <c r="A136" t="s">
        <v>349</v>
      </c>
    </row>
    <row r="138" ht="12.75">
      <c r="B138" s="6" t="s">
        <v>350</v>
      </c>
    </row>
    <row r="139" ht="12.75">
      <c r="B139" s="6" t="s">
        <v>351</v>
      </c>
    </row>
    <row r="140" ht="12.75">
      <c r="B140" s="6" t="s">
        <v>352</v>
      </c>
    </row>
    <row r="141" ht="12.75">
      <c r="B141" s="6" t="s">
        <v>357</v>
      </c>
    </row>
    <row r="143" ht="12.75">
      <c r="B143" s="54" t="s">
        <v>358</v>
      </c>
    </row>
    <row r="145" ht="12.75">
      <c r="B145" s="19" t="s">
        <v>353</v>
      </c>
    </row>
    <row r="146" ht="12.75">
      <c r="B146" t="s">
        <v>362</v>
      </c>
    </row>
    <row r="147" ht="12.75">
      <c r="E147" s="4" t="s">
        <v>134</v>
      </c>
    </row>
    <row r="148" spans="3:5" ht="12.75">
      <c r="C148" s="11" t="s">
        <v>355</v>
      </c>
      <c r="D148" s="11" t="s">
        <v>354</v>
      </c>
      <c r="E148" s="11"/>
    </row>
    <row r="149" spans="3:5" ht="12.75">
      <c r="C149">
        <v>1</v>
      </c>
      <c r="D149" s="12">
        <v>46</v>
      </c>
      <c r="E149" s="56"/>
    </row>
    <row r="150" spans="3:5" ht="12.75">
      <c r="C150">
        <v>2</v>
      </c>
      <c r="D150" s="12">
        <v>51</v>
      </c>
      <c r="E150" s="56"/>
    </row>
    <row r="151" spans="3:5" ht="12.75">
      <c r="C151">
        <v>3</v>
      </c>
      <c r="D151" s="12">
        <v>40</v>
      </c>
      <c r="E151" s="56"/>
    </row>
    <row r="152" spans="3:5" ht="12.75">
      <c r="C152">
        <v>4</v>
      </c>
      <c r="D152" s="12">
        <v>44</v>
      </c>
      <c r="E152" s="56"/>
    </row>
    <row r="153" spans="3:5" ht="12.75">
      <c r="C153">
        <v>5</v>
      </c>
      <c r="D153" s="12">
        <v>55</v>
      </c>
      <c r="E153" s="56"/>
    </row>
    <row r="154" spans="3:5" ht="12.75">
      <c r="C154">
        <v>6</v>
      </c>
      <c r="D154" s="12">
        <v>51</v>
      </c>
      <c r="E154" s="56"/>
    </row>
    <row r="155" spans="3:5" ht="12.75">
      <c r="C155">
        <v>7</v>
      </c>
      <c r="D155" s="12">
        <v>46</v>
      </c>
      <c r="E155" s="56"/>
    </row>
    <row r="156" spans="3:5" ht="12.75">
      <c r="C156">
        <v>8</v>
      </c>
      <c r="D156" s="12">
        <v>41</v>
      </c>
      <c r="E156" s="56"/>
    </row>
    <row r="157" spans="3:5" ht="12.75">
      <c r="C157">
        <v>9</v>
      </c>
      <c r="D157" s="12">
        <v>46</v>
      </c>
      <c r="E157" s="56"/>
    </row>
    <row r="158" spans="3:5" ht="12.75">
      <c r="C158">
        <v>10</v>
      </c>
      <c r="D158" s="12">
        <v>53</v>
      </c>
      <c r="E158" s="56"/>
    </row>
    <row r="159" spans="3:5" ht="12.75">
      <c r="C159">
        <v>11</v>
      </c>
      <c r="D159" s="12">
        <v>55</v>
      </c>
      <c r="E159" s="56"/>
    </row>
    <row r="160" spans="3:5" ht="12.75">
      <c r="C160">
        <v>12</v>
      </c>
      <c r="D160" s="12">
        <v>50</v>
      </c>
      <c r="E160" s="56"/>
    </row>
    <row r="161" spans="3:5" ht="12.75">
      <c r="C161">
        <v>13</v>
      </c>
      <c r="D161" s="12">
        <v>54</v>
      </c>
      <c r="E161" s="56"/>
    </row>
    <row r="162" spans="3:5" ht="12.75">
      <c r="C162">
        <v>14</v>
      </c>
      <c r="D162" s="12">
        <v>59</v>
      </c>
      <c r="E162" s="56"/>
    </row>
    <row r="163" spans="3:5" ht="12.75">
      <c r="C163">
        <v>15</v>
      </c>
      <c r="D163" s="12">
        <v>53</v>
      </c>
      <c r="E163" s="56"/>
    </row>
    <row r="164" spans="3:5" ht="12.75">
      <c r="C164">
        <v>16</v>
      </c>
      <c r="D164" s="12">
        <v>56</v>
      </c>
      <c r="E164" s="56"/>
    </row>
    <row r="165" spans="3:5" ht="12.75">
      <c r="C165">
        <v>17</v>
      </c>
      <c r="D165" s="12">
        <v>50</v>
      </c>
      <c r="E165" s="56"/>
    </row>
    <row r="166" spans="3:5" ht="12.75">
      <c r="C166">
        <v>18</v>
      </c>
      <c r="D166" s="12">
        <v>55</v>
      </c>
      <c r="E166" s="56"/>
    </row>
    <row r="167" spans="3:5" ht="12.75">
      <c r="C167">
        <v>19</v>
      </c>
      <c r="D167" s="12">
        <v>51</v>
      </c>
      <c r="E167" s="56"/>
    </row>
    <row r="168" spans="3:5" ht="12.75">
      <c r="C168">
        <v>20</v>
      </c>
      <c r="D168" s="12">
        <v>46</v>
      </c>
      <c r="E168" s="56"/>
    </row>
    <row r="169" spans="3:5" ht="12.75">
      <c r="C169">
        <v>21</v>
      </c>
      <c r="D169" s="12">
        <v>45</v>
      </c>
      <c r="E169" s="56"/>
    </row>
    <row r="170" spans="3:5" ht="12.75">
      <c r="C170">
        <v>22</v>
      </c>
      <c r="D170" s="12">
        <v>42</v>
      </c>
      <c r="E170" s="56"/>
    </row>
    <row r="171" spans="3:5" ht="12.75">
      <c r="C171">
        <v>23</v>
      </c>
      <c r="D171" s="12">
        <v>44</v>
      </c>
      <c r="E171" s="56"/>
    </row>
    <row r="172" spans="3:5" ht="12.75">
      <c r="C172">
        <v>24</v>
      </c>
      <c r="D172" s="12">
        <v>41</v>
      </c>
      <c r="E172" s="56"/>
    </row>
    <row r="173" spans="3:5" ht="12.75">
      <c r="C173">
        <v>25</v>
      </c>
      <c r="D173" s="12">
        <v>39</v>
      </c>
      <c r="E173" s="56"/>
    </row>
    <row r="174" spans="3:5" ht="12.75">
      <c r="C174">
        <v>26</v>
      </c>
      <c r="D174" s="12">
        <v>40</v>
      </c>
      <c r="E174" s="56"/>
    </row>
    <row r="175" spans="3:5" ht="12.75">
      <c r="C175">
        <v>27</v>
      </c>
      <c r="D175" s="12">
        <v>43</v>
      </c>
      <c r="E175" s="56"/>
    </row>
    <row r="176" spans="3:5" ht="12.75">
      <c r="C176">
        <v>28</v>
      </c>
      <c r="D176" s="12">
        <v>46</v>
      </c>
      <c r="E176" s="56"/>
    </row>
    <row r="177" spans="3:5" ht="12.75">
      <c r="C177">
        <v>29</v>
      </c>
      <c r="D177" s="12">
        <v>42</v>
      </c>
      <c r="E177" s="56"/>
    </row>
    <row r="178" spans="3:5" ht="12.75">
      <c r="C178" s="17">
        <v>30</v>
      </c>
      <c r="D178" s="15">
        <v>45</v>
      </c>
      <c r="E178" s="56"/>
    </row>
    <row r="179" spans="2:5" ht="12.75">
      <c r="B179" s="6" t="s">
        <v>366</v>
      </c>
      <c r="D179" s="57">
        <f>AVERAGE(D149:D178)</f>
        <v>47.63333333333333</v>
      </c>
      <c r="E179" t="s">
        <v>134</v>
      </c>
    </row>
    <row r="180" spans="2:7" ht="12.75">
      <c r="B180" s="6" t="s">
        <v>365</v>
      </c>
      <c r="D180" s="55">
        <f>STDEVPA(D149:D178)</f>
        <v>5.546670673075476</v>
      </c>
      <c r="E180" s="6" t="s">
        <v>134</v>
      </c>
      <c r="G180" s="38" t="s">
        <v>360</v>
      </c>
    </row>
    <row r="181" spans="2:7" ht="12.75">
      <c r="B181" s="6"/>
      <c r="C181" t="s">
        <v>382</v>
      </c>
      <c r="D181" s="61">
        <f>MIN(D149:D178)</f>
        <v>39</v>
      </c>
      <c r="E181" s="6"/>
      <c r="G181" s="38"/>
    </row>
    <row r="182" spans="2:7" ht="12.75">
      <c r="B182" s="6"/>
      <c r="C182" t="s">
        <v>383</v>
      </c>
      <c r="D182" s="61">
        <f>MAX(D149:D178)</f>
        <v>59</v>
      </c>
      <c r="E182" s="6"/>
      <c r="G182" s="38"/>
    </row>
    <row r="183" spans="2:7" ht="12.75">
      <c r="B183" s="6"/>
      <c r="D183" s="60"/>
      <c r="E183" s="6"/>
      <c r="G183" s="38"/>
    </row>
    <row r="185" ht="12.75">
      <c r="B185" t="s">
        <v>363</v>
      </c>
    </row>
    <row r="187" spans="2:5" ht="12.75">
      <c r="B187" t="s">
        <v>380</v>
      </c>
      <c r="E187" s="10">
        <v>0.95</v>
      </c>
    </row>
    <row r="188" spans="2:5" ht="12.75">
      <c r="B188" t="s">
        <v>359</v>
      </c>
      <c r="E188" s="10">
        <v>0.05</v>
      </c>
    </row>
    <row r="189" spans="2:7" ht="12.75">
      <c r="B189" s="6" t="s">
        <v>364</v>
      </c>
      <c r="E189" s="55">
        <f>NORMSINV(E187)</f>
        <v>1.6448536269514724</v>
      </c>
      <c r="F189" t="s">
        <v>134</v>
      </c>
      <c r="G189" s="38" t="s">
        <v>367</v>
      </c>
    </row>
    <row r="190" ht="12.75">
      <c r="B190" t="s">
        <v>134</v>
      </c>
    </row>
    <row r="191" ht="12.75">
      <c r="B191" t="s">
        <v>368</v>
      </c>
    </row>
    <row r="192" ht="12.75">
      <c r="C192" t="s">
        <v>374</v>
      </c>
    </row>
    <row r="194" spans="3:6" ht="12.75">
      <c r="C194" t="s">
        <v>369</v>
      </c>
      <c r="F194" s="16">
        <v>1.2</v>
      </c>
    </row>
    <row r="195" spans="3:6" ht="12.75">
      <c r="C195" t="s">
        <v>370</v>
      </c>
      <c r="F195" s="16">
        <v>1.6</v>
      </c>
    </row>
    <row r="196" spans="3:6" ht="12.75">
      <c r="C196" t="s">
        <v>371</v>
      </c>
      <c r="F196" s="16">
        <v>2.3</v>
      </c>
    </row>
    <row r="197" spans="3:6" ht="12.75">
      <c r="C197" t="s">
        <v>372</v>
      </c>
      <c r="F197" s="58">
        <v>0.4</v>
      </c>
    </row>
    <row r="198" spans="4:7" ht="12.75">
      <c r="D198" s="6" t="s">
        <v>373</v>
      </c>
      <c r="E198" s="6"/>
      <c r="F198" s="55">
        <f>SUM(F194:F197)</f>
        <v>5.5</v>
      </c>
      <c r="G198" t="s">
        <v>158</v>
      </c>
    </row>
    <row r="199" ht="12.75">
      <c r="D199" t="s">
        <v>134</v>
      </c>
    </row>
    <row r="200" ht="12.75">
      <c r="B200" t="s">
        <v>375</v>
      </c>
    </row>
    <row r="202" spans="3:7" ht="12.75">
      <c r="C202" t="s">
        <v>356</v>
      </c>
      <c r="F202" s="12">
        <f>D179</f>
        <v>47.63333333333333</v>
      </c>
      <c r="G202" t="s">
        <v>354</v>
      </c>
    </row>
    <row r="203" spans="3:7" ht="12.75">
      <c r="C203" t="s">
        <v>376</v>
      </c>
      <c r="F203" s="58">
        <f>F198</f>
        <v>5.5</v>
      </c>
      <c r="G203" t="s">
        <v>158</v>
      </c>
    </row>
    <row r="204" spans="3:7" ht="12.75">
      <c r="C204" t="s">
        <v>381</v>
      </c>
      <c r="F204" s="41">
        <f>F202*F203</f>
        <v>261.98333333333335</v>
      </c>
      <c r="G204" t="s">
        <v>354</v>
      </c>
    </row>
    <row r="205" spans="3:6" ht="12.75">
      <c r="C205" t="s">
        <v>361</v>
      </c>
      <c r="F205" s="16">
        <f>E189</f>
        <v>1.6448536269514724</v>
      </c>
    </row>
    <row r="206" spans="2:6" ht="12.75">
      <c r="B206" s="16"/>
      <c r="C206" t="s">
        <v>377</v>
      </c>
      <c r="F206" s="16">
        <f>D180</f>
        <v>5.546670673075476</v>
      </c>
    </row>
    <row r="207" spans="2:6" ht="12.75">
      <c r="B207" s="49"/>
      <c r="C207" t="s">
        <v>378</v>
      </c>
      <c r="F207" s="58">
        <f>SQRT(F198)</f>
        <v>2.345207879911715</v>
      </c>
    </row>
    <row r="208" spans="3:7" ht="12.75">
      <c r="C208" t="s">
        <v>379</v>
      </c>
      <c r="F208" s="41">
        <f>F205*F206*F207</f>
        <v>21.396413506641288</v>
      </c>
      <c r="G208" t="s">
        <v>354</v>
      </c>
    </row>
    <row r="209" spans="3:7" ht="12.75">
      <c r="C209" s="6" t="s">
        <v>384</v>
      </c>
      <c r="D209" s="6"/>
      <c r="E209" s="6"/>
      <c r="F209" s="59">
        <f>F204+F208</f>
        <v>283.37974683997464</v>
      </c>
      <c r="G209" s="6" t="s">
        <v>354</v>
      </c>
    </row>
    <row r="211" ht="12.75">
      <c r="A211" t="s">
        <v>385</v>
      </c>
    </row>
    <row r="213" ht="12.75">
      <c r="B213" t="s">
        <v>386</v>
      </c>
    </row>
    <row r="215" ht="12.75">
      <c r="D215" s="4" t="s">
        <v>259</v>
      </c>
    </row>
    <row r="216" spans="2:5" ht="12.75">
      <c r="B216" s="11" t="s">
        <v>387</v>
      </c>
      <c r="C216" s="11" t="s">
        <v>388</v>
      </c>
      <c r="D216" s="11" t="s">
        <v>389</v>
      </c>
      <c r="E216" s="4" t="s">
        <v>163</v>
      </c>
    </row>
    <row r="217" spans="2:5" ht="12.75">
      <c r="B217" s="62" t="s">
        <v>390</v>
      </c>
      <c r="C217" s="16">
        <v>34.15</v>
      </c>
      <c r="D217" s="12">
        <v>9110</v>
      </c>
      <c r="E217" s="12">
        <f>C217*D217</f>
        <v>311106.5</v>
      </c>
    </row>
    <row r="218" spans="2:5" ht="12.75">
      <c r="B218" s="62" t="s">
        <v>391</v>
      </c>
      <c r="C218" s="16">
        <v>26.2</v>
      </c>
      <c r="D218" s="12">
        <v>3105</v>
      </c>
      <c r="E218" s="12">
        <f aca="true" t="shared" si="0" ref="E218:E228">C218*D218</f>
        <v>81351</v>
      </c>
    </row>
    <row r="219" spans="2:5" ht="12.75">
      <c r="B219" s="62" t="s">
        <v>392</v>
      </c>
      <c r="C219" s="16">
        <v>20.9</v>
      </c>
      <c r="D219" s="12">
        <v>2205</v>
      </c>
      <c r="E219" s="12">
        <f t="shared" si="0"/>
        <v>46084.5</v>
      </c>
    </row>
    <row r="220" spans="2:5" ht="12.75">
      <c r="B220" s="62" t="s">
        <v>393</v>
      </c>
      <c r="C220" s="16">
        <v>38.5</v>
      </c>
      <c r="D220" s="12">
        <v>18900</v>
      </c>
      <c r="E220" s="12">
        <f t="shared" si="0"/>
        <v>727650</v>
      </c>
    </row>
    <row r="221" spans="2:5" ht="12.75">
      <c r="B221" s="62" t="s">
        <v>394</v>
      </c>
      <c r="C221" s="16">
        <v>19.3</v>
      </c>
      <c r="D221" s="12">
        <v>34100</v>
      </c>
      <c r="E221" s="12">
        <f t="shared" si="0"/>
        <v>658130</v>
      </c>
    </row>
    <row r="222" spans="2:5" ht="12.75">
      <c r="B222" s="62" t="s">
        <v>395</v>
      </c>
      <c r="C222" s="16">
        <v>29.3</v>
      </c>
      <c r="D222" s="12">
        <v>1340</v>
      </c>
      <c r="E222" s="12">
        <f t="shared" si="0"/>
        <v>39262</v>
      </c>
    </row>
    <row r="223" spans="2:5" ht="12.75">
      <c r="B223" s="62" t="s">
        <v>396</v>
      </c>
      <c r="C223" s="16">
        <v>27.8</v>
      </c>
      <c r="D223" s="12">
        <v>8805</v>
      </c>
      <c r="E223" s="12">
        <f t="shared" si="0"/>
        <v>244779</v>
      </c>
    </row>
    <row r="224" spans="2:5" ht="12.75">
      <c r="B224" s="62" t="s">
        <v>397</v>
      </c>
      <c r="C224" s="16">
        <v>11.6</v>
      </c>
      <c r="D224" s="12">
        <v>43400</v>
      </c>
      <c r="E224" s="12">
        <f t="shared" si="0"/>
        <v>503440</v>
      </c>
    </row>
    <row r="225" spans="2:5" ht="12.75">
      <c r="B225" s="62" t="s">
        <v>398</v>
      </c>
      <c r="C225" s="16">
        <v>37.2</v>
      </c>
      <c r="D225" s="12">
        <v>7130</v>
      </c>
      <c r="E225" s="12">
        <f t="shared" si="0"/>
        <v>265236</v>
      </c>
    </row>
    <row r="226" spans="2:5" ht="12.75">
      <c r="B226" s="62" t="s">
        <v>399</v>
      </c>
      <c r="C226" s="16">
        <v>23.7</v>
      </c>
      <c r="D226" s="12">
        <v>29510</v>
      </c>
      <c r="E226" s="12">
        <f t="shared" si="0"/>
        <v>699387</v>
      </c>
    </row>
    <row r="227" spans="2:5" ht="12.75">
      <c r="B227" s="62" t="s">
        <v>400</v>
      </c>
      <c r="C227" s="16">
        <v>31.6</v>
      </c>
      <c r="D227" s="12">
        <v>860</v>
      </c>
      <c r="E227" s="12">
        <f t="shared" si="0"/>
        <v>27176</v>
      </c>
    </row>
    <row r="228" spans="2:5" ht="12.75">
      <c r="B228" s="62" t="s">
        <v>401</v>
      </c>
      <c r="C228" s="16">
        <v>15.4</v>
      </c>
      <c r="D228" s="12">
        <v>16800</v>
      </c>
      <c r="E228" s="12">
        <f t="shared" si="0"/>
        <v>258720</v>
      </c>
    </row>
    <row r="229" spans="2:5" ht="12.75">
      <c r="B229" s="62"/>
      <c r="C229" s="64" t="s">
        <v>413</v>
      </c>
      <c r="D229" s="65"/>
      <c r="E229" s="65">
        <f>SUM(E217:E228)</f>
        <v>3862322</v>
      </c>
    </row>
    <row r="230" spans="2:4" ht="12.75">
      <c r="B230" s="62"/>
      <c r="C230" s="16"/>
      <c r="D230" s="12"/>
    </row>
    <row r="231" spans="2:4" ht="12.75">
      <c r="B231" s="62" t="s">
        <v>405</v>
      </c>
      <c r="C231" s="16"/>
      <c r="D231" s="12"/>
    </row>
    <row r="232" spans="2:4" ht="12.75">
      <c r="B232" s="62"/>
      <c r="C232" s="16"/>
      <c r="D232" s="12"/>
    </row>
    <row r="233" spans="4:7" ht="12.75">
      <c r="D233" s="4" t="s">
        <v>259</v>
      </c>
      <c r="F233" s="4" t="s">
        <v>402</v>
      </c>
      <c r="G233" s="4" t="s">
        <v>403</v>
      </c>
    </row>
    <row r="234" spans="2:8" ht="12.75">
      <c r="B234" s="11" t="s">
        <v>387</v>
      </c>
      <c r="C234" s="11" t="s">
        <v>388</v>
      </c>
      <c r="D234" s="11" t="s">
        <v>389</v>
      </c>
      <c r="E234" s="4" t="s">
        <v>163</v>
      </c>
      <c r="F234" s="11" t="s">
        <v>163</v>
      </c>
      <c r="G234" s="11" t="s">
        <v>404</v>
      </c>
      <c r="H234" s="11" t="s">
        <v>406</v>
      </c>
    </row>
    <row r="235" spans="2:8" ht="12.75">
      <c r="B235" s="62" t="s">
        <v>393</v>
      </c>
      <c r="C235" s="16">
        <v>38.5</v>
      </c>
      <c r="D235" s="12">
        <v>18900</v>
      </c>
      <c r="E235" s="12">
        <f aca="true" t="shared" si="1" ref="E235:E246">C235*D235</f>
        <v>727650</v>
      </c>
      <c r="F235" s="10">
        <f>E235/$E$247</f>
        <v>0.18839703163019553</v>
      </c>
      <c r="G235" s="10">
        <f>F235</f>
        <v>0.18839703163019553</v>
      </c>
      <c r="H235" s="4" t="s">
        <v>407</v>
      </c>
    </row>
    <row r="236" spans="2:8" ht="12.75">
      <c r="B236" s="62" t="s">
        <v>399</v>
      </c>
      <c r="C236" s="16">
        <v>23.7</v>
      </c>
      <c r="D236" s="12">
        <v>29510</v>
      </c>
      <c r="E236" s="12">
        <f t="shared" si="1"/>
        <v>699387</v>
      </c>
      <c r="F236" s="10">
        <f aca="true" t="shared" si="2" ref="F236:F246">E236/$E$247</f>
        <v>0.18107941285061163</v>
      </c>
      <c r="G236" s="10">
        <f>F236+G235</f>
        <v>0.3694764444808072</v>
      </c>
      <c r="H236" s="4" t="s">
        <v>407</v>
      </c>
    </row>
    <row r="237" spans="2:8" ht="12.75">
      <c r="B237" s="62" t="s">
        <v>394</v>
      </c>
      <c r="C237" s="16">
        <v>19.3</v>
      </c>
      <c r="D237" s="12">
        <v>34100</v>
      </c>
      <c r="E237" s="12">
        <f t="shared" si="1"/>
        <v>658130</v>
      </c>
      <c r="F237" s="10">
        <f t="shared" si="2"/>
        <v>0.17039749663544365</v>
      </c>
      <c r="G237" s="10">
        <f aca="true" t="shared" si="3" ref="G237:G246">F237+G236</f>
        <v>0.5398739411162509</v>
      </c>
      <c r="H237" s="4" t="s">
        <v>407</v>
      </c>
    </row>
    <row r="238" spans="2:8" ht="12.75">
      <c r="B238" s="62" t="s">
        <v>397</v>
      </c>
      <c r="C238" s="16">
        <v>11.6</v>
      </c>
      <c r="D238" s="12">
        <v>43400</v>
      </c>
      <c r="E238" s="12">
        <f t="shared" si="1"/>
        <v>503440</v>
      </c>
      <c r="F238" s="10">
        <f t="shared" si="2"/>
        <v>0.130346459979256</v>
      </c>
      <c r="G238" s="10">
        <f t="shared" si="3"/>
        <v>0.6702204010955068</v>
      </c>
      <c r="H238" s="4" t="s">
        <v>407</v>
      </c>
    </row>
    <row r="239" spans="2:8" ht="12.75">
      <c r="B239" s="62" t="s">
        <v>390</v>
      </c>
      <c r="C239" s="16">
        <v>34.15</v>
      </c>
      <c r="D239" s="12">
        <v>9110</v>
      </c>
      <c r="E239" s="12">
        <f t="shared" si="1"/>
        <v>311106.5</v>
      </c>
      <c r="F239" s="10">
        <f t="shared" si="2"/>
        <v>0.08054908420375101</v>
      </c>
      <c r="G239" s="10">
        <f t="shared" si="3"/>
        <v>0.7507694852992579</v>
      </c>
      <c r="H239" s="4" t="s">
        <v>408</v>
      </c>
    </row>
    <row r="240" spans="2:8" ht="12.75">
      <c r="B240" s="62" t="s">
        <v>398</v>
      </c>
      <c r="C240" s="16">
        <v>37.2</v>
      </c>
      <c r="D240" s="12">
        <v>7130</v>
      </c>
      <c r="E240" s="12">
        <f t="shared" si="1"/>
        <v>265236</v>
      </c>
      <c r="F240" s="10">
        <f t="shared" si="2"/>
        <v>0.06867267928463758</v>
      </c>
      <c r="G240" s="10">
        <f t="shared" si="3"/>
        <v>0.8194421645838955</v>
      </c>
      <c r="H240" s="4" t="s">
        <v>408</v>
      </c>
    </row>
    <row r="241" spans="2:8" ht="12.75">
      <c r="B241" s="62" t="s">
        <v>401</v>
      </c>
      <c r="C241" s="16">
        <v>15.4</v>
      </c>
      <c r="D241" s="12">
        <v>16800</v>
      </c>
      <c r="E241" s="12">
        <f t="shared" si="1"/>
        <v>258720</v>
      </c>
      <c r="F241" s="10">
        <f t="shared" si="2"/>
        <v>0.06698561124629174</v>
      </c>
      <c r="G241" s="10">
        <f t="shared" si="3"/>
        <v>0.8864277758301873</v>
      </c>
      <c r="H241" s="4" t="s">
        <v>408</v>
      </c>
    </row>
    <row r="242" spans="2:8" ht="12.75">
      <c r="B242" s="62" t="s">
        <v>396</v>
      </c>
      <c r="C242" s="16">
        <v>27.8</v>
      </c>
      <c r="D242" s="12">
        <v>8805</v>
      </c>
      <c r="E242" s="12">
        <f t="shared" si="1"/>
        <v>244779</v>
      </c>
      <c r="F242" s="10">
        <f t="shared" si="2"/>
        <v>0.06337612451784186</v>
      </c>
      <c r="G242" s="10">
        <f t="shared" si="3"/>
        <v>0.9498039003480292</v>
      </c>
      <c r="H242" s="4" t="s">
        <v>408</v>
      </c>
    </row>
    <row r="243" spans="2:8" ht="12.75">
      <c r="B243" s="62" t="s">
        <v>391</v>
      </c>
      <c r="C243" s="16">
        <v>26.2</v>
      </c>
      <c r="D243" s="12">
        <v>3105</v>
      </c>
      <c r="E243" s="12">
        <f t="shared" si="1"/>
        <v>81351</v>
      </c>
      <c r="F243" s="10">
        <f t="shared" si="2"/>
        <v>0.021062718230121673</v>
      </c>
      <c r="G243" s="10">
        <f t="shared" si="3"/>
        <v>0.9708666185781508</v>
      </c>
      <c r="H243" s="4" t="s">
        <v>409</v>
      </c>
    </row>
    <row r="244" spans="2:8" ht="12.75">
      <c r="B244" s="62" t="s">
        <v>392</v>
      </c>
      <c r="C244" s="16">
        <v>20.9</v>
      </c>
      <c r="D244" s="12">
        <v>2205</v>
      </c>
      <c r="E244" s="12">
        <f t="shared" si="1"/>
        <v>46084.5</v>
      </c>
      <c r="F244" s="10">
        <f t="shared" si="2"/>
        <v>0.011931812003245716</v>
      </c>
      <c r="G244" s="10">
        <f t="shared" si="3"/>
        <v>0.9827984305813965</v>
      </c>
      <c r="H244" s="4" t="s">
        <v>409</v>
      </c>
    </row>
    <row r="245" spans="2:8" ht="12.75">
      <c r="B245" s="62" t="s">
        <v>395</v>
      </c>
      <c r="C245" s="16">
        <v>29.3</v>
      </c>
      <c r="D245" s="12">
        <v>1340</v>
      </c>
      <c r="E245" s="12">
        <f t="shared" si="1"/>
        <v>39262</v>
      </c>
      <c r="F245" s="10">
        <f t="shared" si="2"/>
        <v>0.01016538755701881</v>
      </c>
      <c r="G245" s="10">
        <f t="shared" si="3"/>
        <v>0.9929638181384153</v>
      </c>
      <c r="H245" s="4" t="s">
        <v>409</v>
      </c>
    </row>
    <row r="246" spans="2:8" ht="12.75">
      <c r="B246" s="62" t="s">
        <v>400</v>
      </c>
      <c r="C246" s="16">
        <v>31.6</v>
      </c>
      <c r="D246" s="12">
        <v>860</v>
      </c>
      <c r="E246" s="15">
        <f t="shared" si="1"/>
        <v>27176</v>
      </c>
      <c r="F246" s="63">
        <f t="shared" si="2"/>
        <v>0.007036181861584819</v>
      </c>
      <c r="G246" s="10">
        <f t="shared" si="3"/>
        <v>1</v>
      </c>
      <c r="H246" s="4" t="s">
        <v>409</v>
      </c>
    </row>
    <row r="247" spans="5:6" ht="12.75">
      <c r="E247" s="12">
        <f>SUM(E235:E246)</f>
        <v>3862322</v>
      </c>
      <c r="F247" s="10">
        <f>SUM(F235:F246)</f>
        <v>1</v>
      </c>
    </row>
    <row r="249" spans="2:6" ht="12.75">
      <c r="B249" s="62" t="s">
        <v>134</v>
      </c>
      <c r="C249" t="s">
        <v>410</v>
      </c>
      <c r="E249" s="12">
        <f>SUM(E235:E238)</f>
        <v>2588607</v>
      </c>
      <c r="F249" s="10">
        <f>E249/$E$252</f>
        <v>0.6702204010955068</v>
      </c>
    </row>
    <row r="250" spans="2:6" ht="12.75">
      <c r="B250" s="62" t="s">
        <v>134</v>
      </c>
      <c r="C250" t="s">
        <v>411</v>
      </c>
      <c r="E250" s="12">
        <f>SUM(E239:E242)</f>
        <v>1079841.5</v>
      </c>
      <c r="F250" s="10">
        <f>E250/$E$252</f>
        <v>0.2795834992525222</v>
      </c>
    </row>
    <row r="251" spans="2:6" ht="12.75">
      <c r="B251" s="62" t="s">
        <v>134</v>
      </c>
      <c r="C251" t="s">
        <v>412</v>
      </c>
      <c r="E251" s="15">
        <f>SUM(E243:E246)</f>
        <v>193873.5</v>
      </c>
      <c r="F251" s="10">
        <f>E251/$E$252</f>
        <v>0.05019609965197102</v>
      </c>
    </row>
    <row r="252" spans="5:6" ht="12.75">
      <c r="E252" s="12">
        <f>SUM(E249:E251)</f>
        <v>3862322</v>
      </c>
      <c r="F252" s="10">
        <f>SUM(F249:F251)</f>
        <v>1</v>
      </c>
    </row>
  </sheetData>
  <printOptions/>
  <pageMargins left="0.75" right="0.75" top="1" bottom="1" header="0.5" footer="0.5"/>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M147"/>
  <sheetViews>
    <sheetView workbookViewId="0" topLeftCell="A25">
      <selection activeCell="C6" sqref="C6"/>
    </sheetView>
  </sheetViews>
  <sheetFormatPr defaultColWidth="9.140625" defaultRowHeight="12.75"/>
  <cols>
    <col min="1" max="1" width="6.28125" style="0" customWidth="1"/>
    <col min="3" max="3" width="13.140625" style="0" customWidth="1"/>
    <col min="4" max="4" width="12.7109375" style="0" customWidth="1"/>
    <col min="5" max="5" width="13.57421875" style="0" customWidth="1"/>
    <col min="6" max="7" width="12.7109375" style="0" customWidth="1"/>
    <col min="9" max="9" width="11.57421875" style="0" customWidth="1"/>
    <col min="10" max="10" width="9.28125" style="0" customWidth="1"/>
    <col min="11" max="12" width="7.00390625" style="0" customWidth="1"/>
    <col min="13" max="13" width="12.7109375" style="0" customWidth="1"/>
  </cols>
  <sheetData>
    <row r="1" spans="1:13" ht="15.75">
      <c r="A1" s="1"/>
      <c r="B1" s="2" t="s">
        <v>242</v>
      </c>
      <c r="C1" s="1"/>
      <c r="D1" s="1"/>
      <c r="E1" s="1"/>
      <c r="F1" s="1"/>
      <c r="G1" s="1"/>
      <c r="H1" s="1"/>
      <c r="I1" s="1"/>
      <c r="J1" s="1"/>
      <c r="K1" s="1"/>
      <c r="L1" s="1"/>
      <c r="M1" s="1"/>
    </row>
    <row r="2" spans="1:13" ht="15.75">
      <c r="A2" s="1"/>
      <c r="B2" s="2" t="s">
        <v>240</v>
      </c>
      <c r="C2" s="1"/>
      <c r="D2" s="1"/>
      <c r="E2" s="1"/>
      <c r="F2" s="1"/>
      <c r="G2" s="1"/>
      <c r="H2" s="1"/>
      <c r="I2" s="1"/>
      <c r="J2" s="1"/>
      <c r="K2" s="1"/>
      <c r="L2" s="1"/>
      <c r="M2" s="1"/>
    </row>
    <row r="4" ht="12.75">
      <c r="A4" t="s">
        <v>266</v>
      </c>
    </row>
    <row r="5" ht="12.75">
      <c r="A5" t="s">
        <v>267</v>
      </c>
    </row>
    <row r="8" spans="1:12" ht="12.75">
      <c r="A8" t="s">
        <v>243</v>
      </c>
      <c r="J8" s="4" t="s">
        <v>250</v>
      </c>
      <c r="K8" s="4" t="s">
        <v>248</v>
      </c>
      <c r="L8" s="4" t="s">
        <v>78</v>
      </c>
    </row>
    <row r="9" spans="10:12" ht="12.75">
      <c r="J9" s="11" t="s">
        <v>249</v>
      </c>
      <c r="K9" s="11" t="s">
        <v>249</v>
      </c>
      <c r="L9" s="11" t="s">
        <v>249</v>
      </c>
    </row>
    <row r="10" spans="2:9" ht="12.75">
      <c r="B10" t="s">
        <v>244</v>
      </c>
      <c r="I10" s="39">
        <v>4200</v>
      </c>
    </row>
    <row r="11" spans="2:13" ht="12.75">
      <c r="B11" t="s">
        <v>246</v>
      </c>
      <c r="H11" s="10">
        <v>0.65</v>
      </c>
      <c r="I11" s="13">
        <f>I10*H11</f>
        <v>2730</v>
      </c>
      <c r="J11">
        <v>30</v>
      </c>
      <c r="K11">
        <v>3</v>
      </c>
      <c r="L11">
        <f>J11+K11</f>
        <v>33</v>
      </c>
      <c r="M11" s="13">
        <f>I11*L11</f>
        <v>90090</v>
      </c>
    </row>
    <row r="12" spans="2:13" ht="12.75">
      <c r="B12" t="s">
        <v>247</v>
      </c>
      <c r="H12" s="10">
        <v>0.35</v>
      </c>
      <c r="I12" s="13">
        <f>I10*H12</f>
        <v>1470</v>
      </c>
      <c r="J12">
        <v>45</v>
      </c>
      <c r="K12">
        <v>4</v>
      </c>
      <c r="L12">
        <f>J12+K12</f>
        <v>49</v>
      </c>
      <c r="M12" s="13">
        <f>I12*L12</f>
        <v>72030</v>
      </c>
    </row>
    <row r="14" spans="5:13" ht="12.75">
      <c r="E14" t="s">
        <v>245</v>
      </c>
      <c r="M14" s="13">
        <f>SUM(M11:M13)</f>
        <v>162120</v>
      </c>
    </row>
    <row r="16" ht="12.75">
      <c r="A16" t="s">
        <v>264</v>
      </c>
    </row>
    <row r="18" ht="12.75">
      <c r="B18" t="s">
        <v>284</v>
      </c>
    </row>
    <row r="20" spans="2:4" ht="12.75">
      <c r="B20" t="s">
        <v>252</v>
      </c>
      <c r="D20" s="5">
        <v>100000</v>
      </c>
    </row>
    <row r="21" spans="2:4" ht="12.75">
      <c r="B21" t="s">
        <v>251</v>
      </c>
      <c r="D21" s="10">
        <v>0.12</v>
      </c>
    </row>
    <row r="22" spans="2:4" ht="12.75">
      <c r="B22" t="s">
        <v>253</v>
      </c>
      <c r="D22" s="5">
        <v>1000</v>
      </c>
    </row>
    <row r="23" spans="2:4" ht="12.75">
      <c r="B23" t="s">
        <v>254</v>
      </c>
      <c r="D23">
        <v>120</v>
      </c>
    </row>
    <row r="24" spans="2:4" ht="12.75">
      <c r="B24" t="s">
        <v>255</v>
      </c>
      <c r="D24">
        <v>360</v>
      </c>
    </row>
    <row r="25" spans="3:7" ht="12.75">
      <c r="C25" s="4"/>
      <c r="D25" s="4"/>
      <c r="E25" s="4"/>
      <c r="F25" s="4" t="s">
        <v>259</v>
      </c>
      <c r="G25" s="4" t="s">
        <v>260</v>
      </c>
    </row>
    <row r="26" spans="3:7" ht="12.75">
      <c r="C26" s="11" t="s">
        <v>256</v>
      </c>
      <c r="D26" s="11" t="s">
        <v>257</v>
      </c>
      <c r="E26" s="11" t="s">
        <v>258</v>
      </c>
      <c r="F26" s="11" t="s">
        <v>158</v>
      </c>
      <c r="G26" s="11" t="s">
        <v>158</v>
      </c>
    </row>
    <row r="27" spans="3:7" ht="12.75">
      <c r="C27" s="5">
        <f>D20*D21</f>
        <v>12000</v>
      </c>
      <c r="D27" s="5">
        <f>D22</f>
        <v>1000</v>
      </c>
      <c r="E27" s="5">
        <f>D20</f>
        <v>100000</v>
      </c>
      <c r="F27">
        <v>360</v>
      </c>
      <c r="G27">
        <f>D23</f>
        <v>120</v>
      </c>
    </row>
    <row r="29" spans="2:4" ht="12.75">
      <c r="B29" t="s">
        <v>261</v>
      </c>
      <c r="C29" s="10">
        <f>((C27+D27)/E27)*(F27/G27)</f>
        <v>0.39</v>
      </c>
      <c r="D29" s="38" t="s">
        <v>268</v>
      </c>
    </row>
    <row r="30" ht="12.75">
      <c r="C30" s="10"/>
    </row>
    <row r="31" ht="12.75">
      <c r="A31" t="s">
        <v>269</v>
      </c>
    </row>
    <row r="33" spans="2:4" ht="12.75">
      <c r="B33" t="s">
        <v>252</v>
      </c>
      <c r="D33" s="5">
        <v>100000</v>
      </c>
    </row>
    <row r="34" spans="2:4" ht="12.75">
      <c r="B34" t="s">
        <v>251</v>
      </c>
      <c r="D34" s="10">
        <v>0.12</v>
      </c>
    </row>
    <row r="35" spans="2:4" ht="12.75">
      <c r="B35" t="s">
        <v>262</v>
      </c>
      <c r="D35" s="5">
        <f>D33*D34</f>
        <v>12000</v>
      </c>
    </row>
    <row r="36" spans="2:5" ht="12.75">
      <c r="B36" t="s">
        <v>263</v>
      </c>
      <c r="D36">
        <v>120</v>
      </c>
      <c r="E36" t="s">
        <v>158</v>
      </c>
    </row>
    <row r="37" spans="2:6" ht="12.75">
      <c r="B37" t="s">
        <v>271</v>
      </c>
      <c r="F37" s="5">
        <v>10000</v>
      </c>
    </row>
    <row r="39" spans="2:4" ht="12.75">
      <c r="B39" t="s">
        <v>261</v>
      </c>
      <c r="C39" s="10">
        <f>(D35/(D33-F37))*(F27/D36)</f>
        <v>0.4</v>
      </c>
      <c r="D39" s="38" t="s">
        <v>272</v>
      </c>
    </row>
    <row r="41" ht="12.75">
      <c r="A41" t="s">
        <v>270</v>
      </c>
    </row>
    <row r="43" spans="2:7" ht="12.75" customHeight="1">
      <c r="B43" t="s">
        <v>252</v>
      </c>
      <c r="D43" s="5">
        <v>100000</v>
      </c>
      <c r="G43" s="45"/>
    </row>
    <row r="44" spans="2:7" ht="12.75" customHeight="1">
      <c r="B44" t="s">
        <v>251</v>
      </c>
      <c r="D44" s="10">
        <v>0.12</v>
      </c>
      <c r="G44" s="46"/>
    </row>
    <row r="45" spans="2:7" ht="12.75" customHeight="1">
      <c r="B45" t="s">
        <v>262</v>
      </c>
      <c r="D45" s="5">
        <f>D43*D44</f>
        <v>12000</v>
      </c>
      <c r="G45" s="46" t="s">
        <v>134</v>
      </c>
    </row>
    <row r="46" spans="2:5" ht="12.75">
      <c r="B46" t="s">
        <v>263</v>
      </c>
      <c r="D46">
        <v>120</v>
      </c>
      <c r="E46" t="s">
        <v>158</v>
      </c>
    </row>
    <row r="48" spans="2:4" ht="12.75">
      <c r="B48" t="s">
        <v>261</v>
      </c>
      <c r="C48" s="10">
        <f>(D45/(D43-D45))*(F27/D46)</f>
        <v>0.40909090909090906</v>
      </c>
      <c r="D48" s="38" t="s">
        <v>288</v>
      </c>
    </row>
    <row r="123" ht="12.75">
      <c r="A123" t="s">
        <v>305</v>
      </c>
    </row>
    <row r="125" spans="2:6" ht="12.75">
      <c r="B125" t="s">
        <v>294</v>
      </c>
      <c r="F125" s="5">
        <v>100000</v>
      </c>
    </row>
    <row r="126" spans="2:6" ht="12.75">
      <c r="B126" t="s">
        <v>289</v>
      </c>
      <c r="F126" s="5">
        <v>70000</v>
      </c>
    </row>
    <row r="127" spans="2:6" ht="12.75">
      <c r="B127" t="s">
        <v>290</v>
      </c>
      <c r="F127" s="30">
        <v>0.12</v>
      </c>
    </row>
    <row r="128" spans="2:6" ht="12.75">
      <c r="B128" t="s">
        <v>295</v>
      </c>
      <c r="F128" s="30">
        <v>0.01</v>
      </c>
    </row>
    <row r="129" spans="2:7" ht="12.75">
      <c r="B129" t="s">
        <v>296</v>
      </c>
      <c r="F129" s="41">
        <v>60</v>
      </c>
      <c r="G129" t="s">
        <v>205</v>
      </c>
    </row>
    <row r="131" spans="4:6" ht="12.75">
      <c r="D131" t="s">
        <v>301</v>
      </c>
      <c r="F131" s="13">
        <f>F125*F128</f>
        <v>1000</v>
      </c>
    </row>
    <row r="132" spans="4:6" ht="12.75">
      <c r="D132" t="s">
        <v>297</v>
      </c>
      <c r="F132" s="13">
        <f>(F126*F127)*(F129/$F$27)</f>
        <v>1400</v>
      </c>
    </row>
    <row r="133" spans="5:6" ht="12.75">
      <c r="E133" t="s">
        <v>293</v>
      </c>
      <c r="F133" s="13">
        <f>SUM(F131:F132)</f>
        <v>2400</v>
      </c>
    </row>
    <row r="134" spans="4:6" ht="12.75">
      <c r="D134" t="s">
        <v>298</v>
      </c>
      <c r="F134" s="30">
        <f>(F133/F126)*($F$27/F129)</f>
        <v>0.20571428571428574</v>
      </c>
    </row>
    <row r="136" ht="12.75">
      <c r="A136" t="s">
        <v>306</v>
      </c>
    </row>
    <row r="138" spans="2:6" ht="12.75">
      <c r="B138" t="s">
        <v>299</v>
      </c>
      <c r="F138" s="5">
        <v>100000</v>
      </c>
    </row>
    <row r="139" spans="2:6" ht="12.75">
      <c r="B139" t="s">
        <v>289</v>
      </c>
      <c r="F139" s="5">
        <v>70000</v>
      </c>
    </row>
    <row r="140" spans="2:6" ht="12.75">
      <c r="B140" t="s">
        <v>290</v>
      </c>
      <c r="F140" s="30">
        <v>0.14</v>
      </c>
    </row>
    <row r="141" spans="2:6" ht="12.75">
      <c r="B141" t="s">
        <v>300</v>
      </c>
      <c r="F141" s="30">
        <v>0.02</v>
      </c>
    </row>
    <row r="142" spans="2:7" ht="12.75">
      <c r="B142" t="s">
        <v>302</v>
      </c>
      <c r="F142" s="41">
        <v>60</v>
      </c>
      <c r="G142" t="s">
        <v>205</v>
      </c>
    </row>
    <row r="144" spans="4:6" ht="12.75">
      <c r="D144" t="s">
        <v>291</v>
      </c>
      <c r="F144" s="13">
        <f>F138*F141</f>
        <v>2000</v>
      </c>
    </row>
    <row r="145" spans="4:6" ht="12.75">
      <c r="D145" t="s">
        <v>292</v>
      </c>
      <c r="F145" s="13">
        <f>(F139*F140)*(F142/$F$27)</f>
        <v>1633.3333333333335</v>
      </c>
    </row>
    <row r="146" spans="5:6" ht="12.75">
      <c r="E146" t="s">
        <v>293</v>
      </c>
      <c r="F146" s="13">
        <f>SUM(F144:F145)</f>
        <v>3633.3333333333335</v>
      </c>
    </row>
    <row r="147" spans="4:6" ht="12.75">
      <c r="D147" t="s">
        <v>298</v>
      </c>
      <c r="F147" s="30">
        <f>(F146/F139)*($F$27/F142)</f>
        <v>0.31142857142857144</v>
      </c>
    </row>
  </sheetData>
  <printOptions/>
  <pageMargins left="0.75" right="0.75" top="1" bottom="1" header="0.5" footer="0.5"/>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dimension ref="A1:M176"/>
  <sheetViews>
    <sheetView workbookViewId="0" topLeftCell="A154">
      <selection activeCell="A163" sqref="A163"/>
    </sheetView>
  </sheetViews>
  <sheetFormatPr defaultColWidth="9.140625" defaultRowHeight="12.75"/>
  <cols>
    <col min="3" max="3" width="12.140625" style="0" customWidth="1"/>
    <col min="4" max="4" width="14.28125" style="0" customWidth="1"/>
    <col min="5" max="5" width="13.140625" style="0" customWidth="1"/>
    <col min="6" max="6" width="12.57421875" style="0" customWidth="1"/>
    <col min="7" max="7" width="13.421875" style="0" customWidth="1"/>
    <col min="8" max="8" width="12.8515625" style="0" customWidth="1"/>
    <col min="9" max="9" width="13.140625" style="0" customWidth="1"/>
  </cols>
  <sheetData>
    <row r="1" spans="1:13" ht="15.75">
      <c r="A1" s="1"/>
      <c r="B1" s="2" t="s">
        <v>242</v>
      </c>
      <c r="C1" s="1"/>
      <c r="D1" s="1"/>
      <c r="E1" s="1"/>
      <c r="F1" s="1"/>
      <c r="G1" s="1"/>
      <c r="H1" s="1"/>
      <c r="I1" s="1"/>
      <c r="J1" s="1"/>
      <c r="K1" s="1"/>
      <c r="L1" s="1"/>
      <c r="M1" s="1"/>
    </row>
    <row r="2" spans="1:13" ht="15.75">
      <c r="A2" s="1"/>
      <c r="B2" s="2" t="s">
        <v>303</v>
      </c>
      <c r="C2" s="1"/>
      <c r="D2" s="1"/>
      <c r="E2" s="1"/>
      <c r="F2" s="1"/>
      <c r="G2" s="1"/>
      <c r="H2" s="1"/>
      <c r="I2" s="1"/>
      <c r="J2" s="1"/>
      <c r="K2" s="1"/>
      <c r="L2" s="1"/>
      <c r="M2" s="1"/>
    </row>
    <row r="4" ht="12.75">
      <c r="A4" t="s">
        <v>304</v>
      </c>
    </row>
    <row r="5" ht="12.75">
      <c r="A5" t="s">
        <v>134</v>
      </c>
    </row>
    <row r="6" ht="12.75">
      <c r="A6" t="s">
        <v>307</v>
      </c>
    </row>
    <row r="8" ht="12.75">
      <c r="B8" t="s">
        <v>319</v>
      </c>
    </row>
    <row r="9" ht="12.75">
      <c r="B9" t="s">
        <v>320</v>
      </c>
    </row>
    <row r="12" ht="12.75">
      <c r="C12" s="47"/>
    </row>
    <row r="22" ht="12.75">
      <c r="B22" t="s">
        <v>323</v>
      </c>
    </row>
    <row r="24" spans="2:5" ht="12.75">
      <c r="B24" t="s">
        <v>273</v>
      </c>
      <c r="D24" s="5">
        <v>300000</v>
      </c>
      <c r="E24" t="s">
        <v>134</v>
      </c>
    </row>
    <row r="25" spans="2:5" ht="12.75">
      <c r="B25" t="s">
        <v>308</v>
      </c>
      <c r="D25">
        <v>5</v>
      </c>
      <c r="E25" t="s">
        <v>134</v>
      </c>
    </row>
    <row r="26" spans="2:5" ht="12.75">
      <c r="B26" t="s">
        <v>251</v>
      </c>
      <c r="D26" s="30">
        <v>0.08</v>
      </c>
      <c r="E26" t="s">
        <v>134</v>
      </c>
    </row>
    <row r="28" ht="12.75">
      <c r="B28" t="s">
        <v>309</v>
      </c>
    </row>
    <row r="29" ht="12.75">
      <c r="G29" t="s">
        <v>134</v>
      </c>
    </row>
    <row r="30" spans="3:8" ht="12.75">
      <c r="C30" t="s">
        <v>310</v>
      </c>
      <c r="F30" s="48">
        <f>(D26*(1+D26)^D25)/(((1+D26)^D25)-1)</f>
        <v>0.25045645456683646</v>
      </c>
      <c r="G30">
        <v>3.993</v>
      </c>
      <c r="H30" s="49">
        <f>(1-(1/(1+D26)^D25))/D26</f>
        <v>3.992710037078087</v>
      </c>
    </row>
    <row r="31" spans="2:7" ht="12.75">
      <c r="B31" s="5" t="s">
        <v>134</v>
      </c>
      <c r="C31" t="s">
        <v>311</v>
      </c>
      <c r="F31" s="5">
        <f>D24*F30</f>
        <v>75136.93637005094</v>
      </c>
      <c r="G31" s="5">
        <f>D24/G30</f>
        <v>75131.48009015778</v>
      </c>
    </row>
    <row r="32" spans="2:6" ht="18" customHeight="1">
      <c r="B32" s="5"/>
      <c r="C32" t="s">
        <v>316</v>
      </c>
      <c r="F32" s="5">
        <f>D25</f>
        <v>5</v>
      </c>
    </row>
    <row r="33" spans="2:6" ht="12.75">
      <c r="B33" s="5"/>
      <c r="C33" t="s">
        <v>317</v>
      </c>
      <c r="F33" s="5">
        <f>F31*F32</f>
        <v>375684.6818502547</v>
      </c>
    </row>
    <row r="34" spans="2:9" ht="15.75">
      <c r="B34" s="5"/>
      <c r="C34" t="s">
        <v>318</v>
      </c>
      <c r="F34" s="5">
        <f>F33-D24</f>
        <v>75684.68185025471</v>
      </c>
      <c r="I34" s="46"/>
    </row>
    <row r="35" spans="6:9" ht="17.25" customHeight="1">
      <c r="F35" t="s">
        <v>134</v>
      </c>
      <c r="I35" s="50" t="s">
        <v>321</v>
      </c>
    </row>
    <row r="36" ht="18.75">
      <c r="I36" s="50" t="s">
        <v>322</v>
      </c>
    </row>
    <row r="37" ht="12.75">
      <c r="B37" t="s">
        <v>312</v>
      </c>
    </row>
    <row r="39" spans="3:9" ht="15.75" customHeight="1">
      <c r="C39" t="s">
        <v>314</v>
      </c>
      <c r="F39" s="30">
        <f>D26/12</f>
        <v>0.006666666666666667</v>
      </c>
      <c r="I39" t="s">
        <v>134</v>
      </c>
    </row>
    <row r="40" spans="3:8" ht="15.75">
      <c r="C40" t="s">
        <v>315</v>
      </c>
      <c r="F40">
        <f>D25*12</f>
        <v>60</v>
      </c>
      <c r="H40" s="46"/>
    </row>
    <row r="41" spans="3:8" ht="12.75">
      <c r="C41" t="s">
        <v>310</v>
      </c>
      <c r="F41" s="48">
        <f>(F39*(1+F39)^F40)/(((1+F39)^F40)-1)</f>
        <v>0.020276394288413817</v>
      </c>
      <c r="H41" s="51">
        <f>(1-(1/(1+F39)^F40))/F39</f>
        <v>49.31843333562576</v>
      </c>
    </row>
    <row r="42" spans="3:8" ht="12.75">
      <c r="C42" t="s">
        <v>313</v>
      </c>
      <c r="F42" s="5">
        <f>D24*F41</f>
        <v>6082.918286524145</v>
      </c>
      <c r="H42" s="5">
        <f>D24/H41</f>
        <v>6082.918286524146</v>
      </c>
    </row>
    <row r="43" spans="3:6" ht="12.75">
      <c r="C43" t="s">
        <v>317</v>
      </c>
      <c r="F43" s="5">
        <f>F40*F42</f>
        <v>364975.0971914487</v>
      </c>
    </row>
    <row r="44" spans="3:6" ht="12.75">
      <c r="C44" t="s">
        <v>318</v>
      </c>
      <c r="F44" s="5">
        <f>F43-D24</f>
        <v>64975.09719144867</v>
      </c>
    </row>
    <row r="47" ht="12.75">
      <c r="A47" t="s">
        <v>324</v>
      </c>
    </row>
    <row r="49" spans="2:5" ht="12.75">
      <c r="B49" t="s">
        <v>330</v>
      </c>
      <c r="E49" s="5">
        <v>2000</v>
      </c>
    </row>
    <row r="50" spans="2:6" ht="12.75">
      <c r="B50" t="s">
        <v>326</v>
      </c>
      <c r="E50">
        <v>3</v>
      </c>
      <c r="F50" t="s">
        <v>329</v>
      </c>
    </row>
    <row r="51" spans="2:5" ht="12.75">
      <c r="B51" t="s">
        <v>251</v>
      </c>
      <c r="E51" s="30">
        <v>0.1</v>
      </c>
    </row>
    <row r="53" spans="2:5" ht="12.75">
      <c r="B53" t="s">
        <v>327</v>
      </c>
      <c r="E53" s="49">
        <f>(1-(1/(1+E51)^E50))/E51</f>
        <v>2.4868519909842246</v>
      </c>
    </row>
    <row r="54" spans="2:5" ht="12.75">
      <c r="B54" t="s">
        <v>328</v>
      </c>
      <c r="E54" s="13">
        <f>E49*E53</f>
        <v>4973.70398196845</v>
      </c>
    </row>
    <row r="57" spans="2:5" ht="12.75">
      <c r="B57" t="s">
        <v>325</v>
      </c>
      <c r="E57" s="5">
        <v>5000</v>
      </c>
    </row>
    <row r="58" spans="2:6" ht="12.75">
      <c r="B58" t="s">
        <v>326</v>
      </c>
      <c r="E58">
        <v>60</v>
      </c>
      <c r="F58" t="s">
        <v>331</v>
      </c>
    </row>
    <row r="59" spans="2:5" ht="12.75">
      <c r="B59" t="s">
        <v>275</v>
      </c>
      <c r="E59" s="30">
        <v>0.12</v>
      </c>
    </row>
    <row r="60" spans="2:5" ht="12.75">
      <c r="B60" t="s">
        <v>332</v>
      </c>
      <c r="E60" s="30">
        <f>E59/12</f>
        <v>0.01</v>
      </c>
    </row>
    <row r="62" spans="2:5" ht="12.75">
      <c r="B62" t="s">
        <v>327</v>
      </c>
      <c r="E62" s="49">
        <f>(1-(1/(1+E60)^E58))/E60</f>
        <v>44.955038406224034</v>
      </c>
    </row>
    <row r="63" spans="2:5" ht="12.75">
      <c r="B63" t="s">
        <v>333</v>
      </c>
      <c r="E63" s="13">
        <f>E57*E62</f>
        <v>224775.19203112018</v>
      </c>
    </row>
    <row r="66" ht="12.75">
      <c r="A66" t="s">
        <v>335</v>
      </c>
    </row>
    <row r="68" spans="2:5" ht="12.75">
      <c r="B68" t="s">
        <v>336</v>
      </c>
      <c r="E68" s="5">
        <v>70000</v>
      </c>
    </row>
    <row r="69" spans="2:5" ht="12.75">
      <c r="B69" t="s">
        <v>337</v>
      </c>
      <c r="E69">
        <v>5</v>
      </c>
    </row>
    <row r="70" spans="2:5" ht="12.75">
      <c r="B70" t="s">
        <v>251</v>
      </c>
      <c r="E70" s="30">
        <v>0.12</v>
      </c>
    </row>
    <row r="72" spans="2:5" ht="12.75">
      <c r="B72" t="s">
        <v>327</v>
      </c>
      <c r="E72" s="49">
        <f>(1-(1/(1+E70)^E69))/E70</f>
        <v>3.6047762023450067</v>
      </c>
    </row>
    <row r="73" spans="2:5" ht="12.75">
      <c r="B73" t="s">
        <v>338</v>
      </c>
      <c r="E73" s="13">
        <f>E68/E72</f>
        <v>19418.681235873413</v>
      </c>
    </row>
    <row r="76" ht="12.75">
      <c r="A76" t="s">
        <v>339</v>
      </c>
    </row>
    <row r="77" ht="12.75">
      <c r="B77" t="s">
        <v>334</v>
      </c>
    </row>
    <row r="78" ht="12.75">
      <c r="I78" s="51"/>
    </row>
    <row r="79" spans="2:8" ht="12.75">
      <c r="B79" t="s">
        <v>273</v>
      </c>
      <c r="E79" s="5">
        <v>350000</v>
      </c>
      <c r="H79" t="s">
        <v>134</v>
      </c>
    </row>
    <row r="80" spans="2:9" ht="12.75">
      <c r="B80" t="s">
        <v>275</v>
      </c>
      <c r="E80" s="10">
        <v>0.09</v>
      </c>
      <c r="I80" s="52"/>
    </row>
    <row r="81" spans="2:9" ht="12.75">
      <c r="B81" t="s">
        <v>263</v>
      </c>
      <c r="E81">
        <v>5</v>
      </c>
      <c r="F81" t="s">
        <v>274</v>
      </c>
      <c r="I81" s="51"/>
    </row>
    <row r="82" spans="2:6" ht="12.75">
      <c r="B82" t="s">
        <v>276</v>
      </c>
      <c r="E82">
        <v>12</v>
      </c>
      <c r="F82" t="s">
        <v>285</v>
      </c>
    </row>
    <row r="83" spans="2:5" ht="12.75">
      <c r="B83" t="s">
        <v>277</v>
      </c>
      <c r="E83">
        <f>E81*E82</f>
        <v>60</v>
      </c>
    </row>
    <row r="84" spans="2:5" ht="12.75">
      <c r="B84" t="s">
        <v>286</v>
      </c>
      <c r="E84" s="8" t="s">
        <v>287</v>
      </c>
    </row>
    <row r="86" spans="2:7" ht="12.75">
      <c r="B86" s="4" t="s">
        <v>250</v>
      </c>
      <c r="C86" s="4" t="s">
        <v>280</v>
      </c>
      <c r="D86" s="4" t="s">
        <v>153</v>
      </c>
      <c r="E86" s="4" t="s">
        <v>256</v>
      </c>
      <c r="F86" s="4" t="s">
        <v>279</v>
      </c>
      <c r="G86" s="4" t="s">
        <v>282</v>
      </c>
    </row>
    <row r="87" spans="2:7" ht="12.75">
      <c r="B87" s="11" t="s">
        <v>278</v>
      </c>
      <c r="C87" s="11" t="s">
        <v>281</v>
      </c>
      <c r="D87" s="11" t="s">
        <v>250</v>
      </c>
      <c r="E87" s="11" t="s">
        <v>250</v>
      </c>
      <c r="F87" s="11" t="s">
        <v>250</v>
      </c>
      <c r="G87" s="11" t="s">
        <v>281</v>
      </c>
    </row>
    <row r="88" spans="2:7" ht="12.75">
      <c r="B88">
        <v>1</v>
      </c>
      <c r="C88" s="13">
        <f>E79</f>
        <v>350000</v>
      </c>
      <c r="D88" s="43">
        <f aca="true" t="shared" si="0" ref="D88:D119">PMT($E$80/$E$82,$E$83,$E$79)</f>
        <v>-7265.424329223836</v>
      </c>
      <c r="E88" s="43">
        <f aca="true" t="shared" si="1" ref="E88:E119">IPMT($E$80/$E$82,B88,$E$83,$E$79)</f>
        <v>-2625</v>
      </c>
      <c r="F88" s="43">
        <f aca="true" t="shared" si="2" ref="F88:F119">D88-E88</f>
        <v>-4640.424329223836</v>
      </c>
      <c r="G88" s="13">
        <f aca="true" t="shared" si="3" ref="G88:G119">C88+F88</f>
        <v>345359.5756707762</v>
      </c>
    </row>
    <row r="89" spans="2:7" ht="12.75">
      <c r="B89">
        <v>2</v>
      </c>
      <c r="C89" s="13">
        <f aca="true" t="shared" si="4" ref="C89:C120">G88</f>
        <v>345359.5756707762</v>
      </c>
      <c r="D89" s="43">
        <f t="shared" si="0"/>
        <v>-7265.424329223836</v>
      </c>
      <c r="E89" s="43">
        <f t="shared" si="1"/>
        <v>-2590.1968175308207</v>
      </c>
      <c r="F89" s="43">
        <f t="shared" si="2"/>
        <v>-4675.227511693016</v>
      </c>
      <c r="G89" s="13">
        <f t="shared" si="3"/>
        <v>340684.34815908317</v>
      </c>
    </row>
    <row r="90" spans="2:7" ht="12.75">
      <c r="B90">
        <v>3</v>
      </c>
      <c r="C90" s="13">
        <f t="shared" si="4"/>
        <v>340684.34815908317</v>
      </c>
      <c r="D90" s="43">
        <f t="shared" si="0"/>
        <v>-7265.424329223836</v>
      </c>
      <c r="E90" s="43">
        <f t="shared" si="1"/>
        <v>-2555.1326111931226</v>
      </c>
      <c r="F90" s="43">
        <f t="shared" si="2"/>
        <v>-4710.291718030714</v>
      </c>
      <c r="G90" s="13">
        <f t="shared" si="3"/>
        <v>335974.05644105247</v>
      </c>
    </row>
    <row r="91" spans="2:7" ht="12.75">
      <c r="B91">
        <v>4</v>
      </c>
      <c r="C91" s="13">
        <f t="shared" si="4"/>
        <v>335974.05644105247</v>
      </c>
      <c r="D91" s="43">
        <f t="shared" si="0"/>
        <v>-7265.424329223836</v>
      </c>
      <c r="E91" s="43">
        <f t="shared" si="1"/>
        <v>-2519.805423307892</v>
      </c>
      <c r="F91" s="43">
        <f t="shared" si="2"/>
        <v>-4745.618905915944</v>
      </c>
      <c r="G91" s="13">
        <f t="shared" si="3"/>
        <v>331228.43753513653</v>
      </c>
    </row>
    <row r="92" spans="2:7" ht="12.75">
      <c r="B92">
        <v>5</v>
      </c>
      <c r="C92" s="13">
        <f t="shared" si="4"/>
        <v>331228.43753513653</v>
      </c>
      <c r="D92" s="43">
        <f t="shared" si="0"/>
        <v>-7265.424329223836</v>
      </c>
      <c r="E92" s="43">
        <f t="shared" si="1"/>
        <v>-2484.213281513522</v>
      </c>
      <c r="F92" s="43">
        <f t="shared" si="2"/>
        <v>-4781.211047710314</v>
      </c>
      <c r="G92" s="13">
        <f t="shared" si="3"/>
        <v>326447.2264874262</v>
      </c>
    </row>
    <row r="93" spans="2:7" ht="12.75">
      <c r="B93">
        <v>6</v>
      </c>
      <c r="C93" s="13">
        <f t="shared" si="4"/>
        <v>326447.2264874262</v>
      </c>
      <c r="D93" s="43">
        <f t="shared" si="0"/>
        <v>-7265.424329223836</v>
      </c>
      <c r="E93" s="43">
        <f t="shared" si="1"/>
        <v>-2448.3541986556947</v>
      </c>
      <c r="F93" s="43">
        <f t="shared" si="2"/>
        <v>-4817.070130568141</v>
      </c>
      <c r="G93" s="13">
        <f t="shared" si="3"/>
        <v>321630.1563568581</v>
      </c>
    </row>
    <row r="94" spans="2:7" ht="12.75">
      <c r="B94">
        <v>7</v>
      </c>
      <c r="C94" s="13">
        <f t="shared" si="4"/>
        <v>321630.1563568581</v>
      </c>
      <c r="D94" s="43">
        <f t="shared" si="0"/>
        <v>-7265.424329223836</v>
      </c>
      <c r="E94" s="43">
        <f t="shared" si="1"/>
        <v>-2412.2261726764323</v>
      </c>
      <c r="F94" s="43">
        <f t="shared" si="2"/>
        <v>-4853.198156547403</v>
      </c>
      <c r="G94" s="13">
        <f t="shared" si="3"/>
        <v>316776.9582003107</v>
      </c>
    </row>
    <row r="95" spans="2:7" ht="12.75">
      <c r="B95">
        <v>8</v>
      </c>
      <c r="C95" s="13">
        <f t="shared" si="4"/>
        <v>316776.9582003107</v>
      </c>
      <c r="D95" s="43">
        <f t="shared" si="0"/>
        <v>-7265.424329223836</v>
      </c>
      <c r="E95" s="43">
        <f t="shared" si="1"/>
        <v>-2375.8271865023257</v>
      </c>
      <c r="F95" s="43">
        <f t="shared" si="2"/>
        <v>-4889.59714272151</v>
      </c>
      <c r="G95" s="13">
        <f t="shared" si="3"/>
        <v>311887.3610575892</v>
      </c>
    </row>
    <row r="96" spans="2:7" ht="12.75">
      <c r="B96">
        <v>9</v>
      </c>
      <c r="C96" s="13">
        <f t="shared" si="4"/>
        <v>311887.3610575892</v>
      </c>
      <c r="D96" s="43">
        <f t="shared" si="0"/>
        <v>-7265.424329223836</v>
      </c>
      <c r="E96" s="43">
        <f t="shared" si="1"/>
        <v>-2339.155207931915</v>
      </c>
      <c r="F96" s="43">
        <f t="shared" si="2"/>
        <v>-4926.269121291922</v>
      </c>
      <c r="G96" s="13">
        <f t="shared" si="3"/>
        <v>306961.09193629725</v>
      </c>
    </row>
    <row r="97" spans="2:7" ht="12.75">
      <c r="B97">
        <v>10</v>
      </c>
      <c r="C97" s="13">
        <f t="shared" si="4"/>
        <v>306961.09193629725</v>
      </c>
      <c r="D97" s="43">
        <f t="shared" si="0"/>
        <v>-7265.424329223836</v>
      </c>
      <c r="E97" s="43">
        <f t="shared" si="1"/>
        <v>-2302.2081895222254</v>
      </c>
      <c r="F97" s="43">
        <f t="shared" si="2"/>
        <v>-4963.216139701611</v>
      </c>
      <c r="G97" s="13">
        <f t="shared" si="3"/>
        <v>301997.87579659565</v>
      </c>
    </row>
    <row r="98" spans="2:7" ht="12.75">
      <c r="B98">
        <v>11</v>
      </c>
      <c r="C98" s="13">
        <f t="shared" si="4"/>
        <v>301997.87579659565</v>
      </c>
      <c r="D98" s="43">
        <f t="shared" si="0"/>
        <v>-7265.424329223836</v>
      </c>
      <c r="E98" s="43">
        <f t="shared" si="1"/>
        <v>-2264.9840684744627</v>
      </c>
      <c r="F98" s="43">
        <f t="shared" si="2"/>
        <v>-5000.440260749374</v>
      </c>
      <c r="G98" s="13">
        <f t="shared" si="3"/>
        <v>296997.4355358463</v>
      </c>
    </row>
    <row r="99" spans="2:7" ht="12.75">
      <c r="B99">
        <v>12</v>
      </c>
      <c r="C99" s="13">
        <f t="shared" si="4"/>
        <v>296997.4355358463</v>
      </c>
      <c r="D99" s="43">
        <f t="shared" si="0"/>
        <v>-7265.424329223836</v>
      </c>
      <c r="E99" s="43">
        <f t="shared" si="1"/>
        <v>-2227.480766518842</v>
      </c>
      <c r="F99" s="43">
        <f t="shared" si="2"/>
        <v>-5037.943562704994</v>
      </c>
      <c r="G99" s="13">
        <f t="shared" si="3"/>
        <v>291959.49197314127</v>
      </c>
    </row>
    <row r="100" spans="2:7" ht="12.75">
      <c r="B100">
        <v>13</v>
      </c>
      <c r="C100" s="13">
        <f t="shared" si="4"/>
        <v>291959.49197314127</v>
      </c>
      <c r="D100" s="43">
        <f t="shared" si="0"/>
        <v>-7265.424329223836</v>
      </c>
      <c r="E100" s="43">
        <f t="shared" si="1"/>
        <v>-2189.696189798554</v>
      </c>
      <c r="F100" s="43">
        <f t="shared" si="2"/>
        <v>-5075.728139425282</v>
      </c>
      <c r="G100" s="13">
        <f t="shared" si="3"/>
        <v>286883.763833716</v>
      </c>
    </row>
    <row r="101" spans="2:7" ht="12.75">
      <c r="B101">
        <v>14</v>
      </c>
      <c r="C101" s="13">
        <f t="shared" si="4"/>
        <v>286883.763833716</v>
      </c>
      <c r="D101" s="43">
        <f t="shared" si="0"/>
        <v>-7265.424329223836</v>
      </c>
      <c r="E101" s="43">
        <f t="shared" si="1"/>
        <v>-2151.6282287528647</v>
      </c>
      <c r="F101" s="43">
        <f t="shared" si="2"/>
        <v>-5113.796100470971</v>
      </c>
      <c r="G101" s="13">
        <f t="shared" si="3"/>
        <v>281769.967733245</v>
      </c>
    </row>
    <row r="102" spans="2:7" ht="12.75">
      <c r="B102">
        <v>15</v>
      </c>
      <c r="C102" s="13">
        <f t="shared" si="4"/>
        <v>281769.967733245</v>
      </c>
      <c r="D102" s="43">
        <f t="shared" si="0"/>
        <v>-7265.424329223836</v>
      </c>
      <c r="E102" s="43">
        <f t="shared" si="1"/>
        <v>-2113.2747579993306</v>
      </c>
      <c r="F102" s="43">
        <f t="shared" si="2"/>
        <v>-5152.149571224505</v>
      </c>
      <c r="G102" s="13">
        <f t="shared" si="3"/>
        <v>276617.81816202047</v>
      </c>
    </row>
    <row r="103" spans="2:7" ht="12.75">
      <c r="B103">
        <v>16</v>
      </c>
      <c r="C103" s="13">
        <f t="shared" si="4"/>
        <v>276617.81816202047</v>
      </c>
      <c r="D103" s="43">
        <f t="shared" si="0"/>
        <v>-7265.424329223836</v>
      </c>
      <c r="E103" s="43">
        <f t="shared" si="1"/>
        <v>-2074.633636215146</v>
      </c>
      <c r="F103" s="43">
        <f t="shared" si="2"/>
        <v>-5190.79069300869</v>
      </c>
      <c r="G103" s="13">
        <f t="shared" si="3"/>
        <v>271427.0274690118</v>
      </c>
    </row>
    <row r="104" spans="2:7" ht="12.75">
      <c r="B104">
        <v>17</v>
      </c>
      <c r="C104" s="13">
        <f t="shared" si="4"/>
        <v>271427.0274690118</v>
      </c>
      <c r="D104" s="43">
        <f t="shared" si="0"/>
        <v>-7265.424329223836</v>
      </c>
      <c r="E104" s="43">
        <f t="shared" si="1"/>
        <v>-2035.7027060175812</v>
      </c>
      <c r="F104" s="43">
        <f t="shared" si="2"/>
        <v>-5229.721623206255</v>
      </c>
      <c r="G104" s="13">
        <f t="shared" si="3"/>
        <v>266197.3058458055</v>
      </c>
    </row>
    <row r="105" spans="2:7" ht="12.75">
      <c r="B105">
        <v>18</v>
      </c>
      <c r="C105" s="13">
        <f t="shared" si="4"/>
        <v>266197.3058458055</v>
      </c>
      <c r="D105" s="43">
        <f t="shared" si="0"/>
        <v>-7265.424329223836</v>
      </c>
      <c r="E105" s="43">
        <f t="shared" si="1"/>
        <v>-1996.4797938435347</v>
      </c>
      <c r="F105" s="43">
        <f t="shared" si="2"/>
        <v>-5268.944535380301</v>
      </c>
      <c r="G105" s="13">
        <f t="shared" si="3"/>
        <v>260928.3613104252</v>
      </c>
    </row>
    <row r="106" spans="2:7" ht="12.75">
      <c r="B106">
        <v>19</v>
      </c>
      <c r="C106" s="13">
        <f t="shared" si="4"/>
        <v>260928.3613104252</v>
      </c>
      <c r="D106" s="43">
        <f t="shared" si="0"/>
        <v>-7265.424329223836</v>
      </c>
      <c r="E106" s="43">
        <f t="shared" si="1"/>
        <v>-1956.9627098281806</v>
      </c>
      <c r="F106" s="43">
        <f t="shared" si="2"/>
        <v>-5308.461619395655</v>
      </c>
      <c r="G106" s="13">
        <f t="shared" si="3"/>
        <v>255619.89969102957</v>
      </c>
    </row>
    <row r="107" spans="2:7" ht="12.75">
      <c r="B107">
        <v>20</v>
      </c>
      <c r="C107" s="13">
        <f t="shared" si="4"/>
        <v>255619.89969102957</v>
      </c>
      <c r="D107" s="43">
        <f t="shared" si="0"/>
        <v>-7265.424329223836</v>
      </c>
      <c r="E107" s="43">
        <f t="shared" si="1"/>
        <v>-1917.1492476827136</v>
      </c>
      <c r="F107" s="43">
        <f t="shared" si="2"/>
        <v>-5348.275081541123</v>
      </c>
      <c r="G107" s="13">
        <f t="shared" si="3"/>
        <v>250271.62460948844</v>
      </c>
    </row>
    <row r="108" spans="2:7" ht="12.75">
      <c r="B108">
        <v>21</v>
      </c>
      <c r="C108" s="13">
        <f t="shared" si="4"/>
        <v>250271.62460948844</v>
      </c>
      <c r="D108" s="43">
        <f t="shared" si="0"/>
        <v>-7265.424329223836</v>
      </c>
      <c r="E108" s="43">
        <f t="shared" si="1"/>
        <v>-1877.0371845711543</v>
      </c>
      <c r="F108" s="43">
        <f t="shared" si="2"/>
        <v>-5388.387144652682</v>
      </c>
      <c r="G108" s="13">
        <f t="shared" si="3"/>
        <v>244883.23746483575</v>
      </c>
    </row>
    <row r="109" spans="2:7" ht="12.75">
      <c r="B109">
        <v>22</v>
      </c>
      <c r="C109" s="13">
        <f t="shared" si="4"/>
        <v>244883.23746483575</v>
      </c>
      <c r="D109" s="43">
        <f t="shared" si="0"/>
        <v>-7265.424329223836</v>
      </c>
      <c r="E109" s="43">
        <f t="shared" si="1"/>
        <v>-1836.624280986259</v>
      </c>
      <c r="F109" s="43">
        <f t="shared" si="2"/>
        <v>-5428.800048237577</v>
      </c>
      <c r="G109" s="13">
        <f t="shared" si="3"/>
        <v>239454.43741659817</v>
      </c>
    </row>
    <row r="110" spans="2:7" ht="12.75">
      <c r="B110">
        <v>23</v>
      </c>
      <c r="C110" s="13">
        <f t="shared" si="4"/>
        <v>239454.43741659817</v>
      </c>
      <c r="D110" s="43">
        <f t="shared" si="0"/>
        <v>-7265.424329223836</v>
      </c>
      <c r="E110" s="43">
        <f t="shared" si="1"/>
        <v>-1795.908280624476</v>
      </c>
      <c r="F110" s="43">
        <f t="shared" si="2"/>
        <v>-5469.51604859936</v>
      </c>
      <c r="G110" s="13">
        <f t="shared" si="3"/>
        <v>233984.92136799882</v>
      </c>
    </row>
    <row r="111" spans="2:7" ht="12.75">
      <c r="B111">
        <v>24</v>
      </c>
      <c r="C111" s="13">
        <f t="shared" si="4"/>
        <v>233984.92136799882</v>
      </c>
      <c r="D111" s="43">
        <f t="shared" si="0"/>
        <v>-7265.424329223836</v>
      </c>
      <c r="E111" s="43">
        <f t="shared" si="1"/>
        <v>-1754.886910259981</v>
      </c>
      <c r="F111" s="43">
        <f t="shared" si="2"/>
        <v>-5510.537418963855</v>
      </c>
      <c r="G111" s="13">
        <f t="shared" si="3"/>
        <v>228474.38394903496</v>
      </c>
    </row>
    <row r="112" spans="2:7" ht="12.75">
      <c r="B112">
        <v>25</v>
      </c>
      <c r="C112" s="13">
        <f t="shared" si="4"/>
        <v>228474.38394903496</v>
      </c>
      <c r="D112" s="43">
        <f t="shared" si="0"/>
        <v>-7265.424329223836</v>
      </c>
      <c r="E112" s="43">
        <f t="shared" si="1"/>
        <v>-1713.5578796177522</v>
      </c>
      <c r="F112" s="43">
        <f t="shared" si="2"/>
        <v>-5551.866449606084</v>
      </c>
      <c r="G112" s="13">
        <f t="shared" si="3"/>
        <v>222922.51749942888</v>
      </c>
    </row>
    <row r="113" spans="2:7" ht="12.75">
      <c r="B113">
        <v>26</v>
      </c>
      <c r="C113" s="13">
        <f t="shared" si="4"/>
        <v>222922.51749942888</v>
      </c>
      <c r="D113" s="43">
        <f t="shared" si="0"/>
        <v>-7265.424329223836</v>
      </c>
      <c r="E113" s="43">
        <f t="shared" si="1"/>
        <v>-1671.918881245706</v>
      </c>
      <c r="F113" s="43">
        <f t="shared" si="2"/>
        <v>-5593.50544797813</v>
      </c>
      <c r="G113" s="13">
        <f t="shared" si="3"/>
        <v>217329.01205145076</v>
      </c>
    </row>
    <row r="114" spans="2:7" ht="12.75">
      <c r="B114">
        <v>27</v>
      </c>
      <c r="C114" s="13">
        <f t="shared" si="4"/>
        <v>217329.01205145076</v>
      </c>
      <c r="D114" s="43">
        <f t="shared" si="0"/>
        <v>-7265.424329223836</v>
      </c>
      <c r="E114" s="43">
        <f t="shared" si="1"/>
        <v>-1629.9675903858688</v>
      </c>
      <c r="F114" s="43">
        <f t="shared" si="2"/>
        <v>-5635.456738837967</v>
      </c>
      <c r="G114" s="13">
        <f t="shared" si="3"/>
        <v>211693.5553126128</v>
      </c>
    </row>
    <row r="115" spans="2:7" ht="12.75">
      <c r="B115">
        <v>28</v>
      </c>
      <c r="C115" s="13">
        <f t="shared" si="4"/>
        <v>211693.5553126128</v>
      </c>
      <c r="D115" s="43">
        <f t="shared" si="0"/>
        <v>-7265.424329223836</v>
      </c>
      <c r="E115" s="43">
        <f t="shared" si="1"/>
        <v>-1587.7016648445838</v>
      </c>
      <c r="F115" s="43">
        <f t="shared" si="2"/>
        <v>-5677.722664379253</v>
      </c>
      <c r="G115" s="13">
        <f t="shared" si="3"/>
        <v>206015.83264823354</v>
      </c>
    </row>
    <row r="116" spans="2:7" ht="12.75">
      <c r="B116">
        <v>29</v>
      </c>
      <c r="C116" s="13">
        <f t="shared" si="4"/>
        <v>206015.83264823354</v>
      </c>
      <c r="D116" s="43">
        <f t="shared" si="0"/>
        <v>-7265.424329223836</v>
      </c>
      <c r="E116" s="43">
        <f t="shared" si="1"/>
        <v>-1545.1187448617382</v>
      </c>
      <c r="F116" s="43">
        <f t="shared" si="2"/>
        <v>-5720.305584362098</v>
      </c>
      <c r="G116" s="13">
        <f t="shared" si="3"/>
        <v>200295.52706387144</v>
      </c>
    </row>
    <row r="117" spans="2:7" ht="12.75">
      <c r="B117">
        <v>30</v>
      </c>
      <c r="C117" s="13">
        <f t="shared" si="4"/>
        <v>200295.52706387144</v>
      </c>
      <c r="D117" s="43">
        <f t="shared" si="0"/>
        <v>-7265.424329223836</v>
      </c>
      <c r="E117" s="43">
        <f t="shared" si="1"/>
        <v>-1502.2164529790232</v>
      </c>
      <c r="F117" s="43">
        <f t="shared" si="2"/>
        <v>-5763.207876244813</v>
      </c>
      <c r="G117" s="13">
        <f t="shared" si="3"/>
        <v>194532.31918762662</v>
      </c>
    </row>
    <row r="118" spans="2:7" ht="12.75">
      <c r="B118">
        <v>31</v>
      </c>
      <c r="C118" s="13">
        <f t="shared" si="4"/>
        <v>194532.31918762662</v>
      </c>
      <c r="D118" s="43">
        <f t="shared" si="0"/>
        <v>-7265.424329223836</v>
      </c>
      <c r="E118" s="43">
        <f t="shared" si="1"/>
        <v>-1458.9923939071857</v>
      </c>
      <c r="F118" s="43">
        <f t="shared" si="2"/>
        <v>-5806.43193531665</v>
      </c>
      <c r="G118" s="13">
        <f t="shared" si="3"/>
        <v>188725.88725230997</v>
      </c>
    </row>
    <row r="119" spans="2:7" ht="12.75">
      <c r="B119">
        <v>32</v>
      </c>
      <c r="C119" s="13">
        <f t="shared" si="4"/>
        <v>188725.88725230997</v>
      </c>
      <c r="D119" s="43">
        <f t="shared" si="0"/>
        <v>-7265.424329223836</v>
      </c>
      <c r="E119" s="43">
        <f t="shared" si="1"/>
        <v>-1415.4441543923099</v>
      </c>
      <c r="F119" s="43">
        <f t="shared" si="2"/>
        <v>-5849.980174831526</v>
      </c>
      <c r="G119" s="13">
        <f t="shared" si="3"/>
        <v>182875.90707747845</v>
      </c>
    </row>
    <row r="120" spans="2:7" ht="12.75">
      <c r="B120">
        <v>33</v>
      </c>
      <c r="C120" s="13">
        <f t="shared" si="4"/>
        <v>182875.90707747845</v>
      </c>
      <c r="D120" s="43">
        <f aca="true" t="shared" si="5" ref="D120:D147">PMT($E$80/$E$82,$E$83,$E$79)</f>
        <v>-7265.424329223836</v>
      </c>
      <c r="E120" s="43">
        <f aca="true" t="shared" si="6" ref="E120:E147">IPMT($E$80/$E$82,B120,$E$83,$E$79)</f>
        <v>-1371.569303081074</v>
      </c>
      <c r="F120" s="43">
        <f aca="true" t="shared" si="7" ref="F120:F147">D120-E120</f>
        <v>-5893.855026142763</v>
      </c>
      <c r="G120" s="13">
        <f aca="true" t="shared" si="8" ref="G120:G147">C120+F120</f>
        <v>176982.0520513357</v>
      </c>
    </row>
    <row r="121" spans="2:7" ht="12.75">
      <c r="B121">
        <v>34</v>
      </c>
      <c r="C121" s="13">
        <f aca="true" t="shared" si="9" ref="C121:C147">G120</f>
        <v>176982.0520513357</v>
      </c>
      <c r="D121" s="43">
        <f t="shared" si="5"/>
        <v>-7265.424329223836</v>
      </c>
      <c r="E121" s="43">
        <f t="shared" si="6"/>
        <v>-1327.3653903850036</v>
      </c>
      <c r="F121" s="43">
        <f t="shared" si="7"/>
        <v>-5938.058938838833</v>
      </c>
      <c r="G121" s="13">
        <f t="shared" si="8"/>
        <v>171043.99311249686</v>
      </c>
    </row>
    <row r="122" spans="2:7" ht="12.75">
      <c r="B122">
        <v>35</v>
      </c>
      <c r="C122" s="13">
        <f t="shared" si="9"/>
        <v>171043.99311249686</v>
      </c>
      <c r="D122" s="43">
        <f t="shared" si="5"/>
        <v>-7265.424329223836</v>
      </c>
      <c r="E122" s="43">
        <f t="shared" si="6"/>
        <v>-1282.8299483437106</v>
      </c>
      <c r="F122" s="43">
        <f t="shared" si="7"/>
        <v>-5982.594380880126</v>
      </c>
      <c r="G122" s="13">
        <f t="shared" si="8"/>
        <v>165061.39873161673</v>
      </c>
    </row>
    <row r="123" spans="2:7" ht="12.75">
      <c r="B123">
        <v>36</v>
      </c>
      <c r="C123" s="13">
        <f t="shared" si="9"/>
        <v>165061.39873161673</v>
      </c>
      <c r="D123" s="43">
        <f t="shared" si="5"/>
        <v>-7265.424329223836</v>
      </c>
      <c r="E123" s="43">
        <f t="shared" si="6"/>
        <v>-1237.9604904871094</v>
      </c>
      <c r="F123" s="43">
        <f t="shared" si="7"/>
        <v>-6027.463838736727</v>
      </c>
      <c r="G123" s="13">
        <f t="shared" si="8"/>
        <v>159033.93489288</v>
      </c>
    </row>
    <row r="124" spans="2:7" ht="12.75">
      <c r="B124">
        <v>37</v>
      </c>
      <c r="C124" s="13">
        <f t="shared" si="9"/>
        <v>159033.93489288</v>
      </c>
      <c r="D124" s="43">
        <f t="shared" si="5"/>
        <v>-7265.424329223836</v>
      </c>
      <c r="E124" s="43">
        <f t="shared" si="6"/>
        <v>-1192.7545116965841</v>
      </c>
      <c r="F124" s="43">
        <f t="shared" si="7"/>
        <v>-6072.669817527252</v>
      </c>
      <c r="G124" s="13">
        <f t="shared" si="8"/>
        <v>152961.26507535274</v>
      </c>
    </row>
    <row r="125" spans="2:7" ht="12.75">
      <c r="B125">
        <v>38</v>
      </c>
      <c r="C125" s="13">
        <f t="shared" si="9"/>
        <v>152961.26507535274</v>
      </c>
      <c r="D125" s="43">
        <f t="shared" si="5"/>
        <v>-7265.424329223836</v>
      </c>
      <c r="E125" s="43">
        <f t="shared" si="6"/>
        <v>-1147.2094880651293</v>
      </c>
      <c r="F125" s="43">
        <f t="shared" si="7"/>
        <v>-6118.214841158707</v>
      </c>
      <c r="G125" s="13">
        <f t="shared" si="8"/>
        <v>146843.05023419403</v>
      </c>
    </row>
    <row r="126" spans="2:7" ht="12.75">
      <c r="B126">
        <v>39</v>
      </c>
      <c r="C126" s="13">
        <f t="shared" si="9"/>
        <v>146843.05023419403</v>
      </c>
      <c r="D126" s="43">
        <f t="shared" si="5"/>
        <v>-7265.424329223836</v>
      </c>
      <c r="E126" s="43">
        <f t="shared" si="6"/>
        <v>-1101.322876756438</v>
      </c>
      <c r="F126" s="43">
        <f t="shared" si="7"/>
        <v>-6164.101452467398</v>
      </c>
      <c r="G126" s="13">
        <f t="shared" si="8"/>
        <v>140678.94878172662</v>
      </c>
    </row>
    <row r="127" spans="2:7" ht="12.75">
      <c r="B127">
        <v>40</v>
      </c>
      <c r="C127" s="13">
        <f t="shared" si="9"/>
        <v>140678.94878172662</v>
      </c>
      <c r="D127" s="43">
        <f t="shared" si="5"/>
        <v>-7265.424329223836</v>
      </c>
      <c r="E127" s="43">
        <f t="shared" si="6"/>
        <v>-1055.0921158629315</v>
      </c>
      <c r="F127" s="43">
        <f t="shared" si="7"/>
        <v>-6210.3322133609045</v>
      </c>
      <c r="G127" s="13">
        <f t="shared" si="8"/>
        <v>134468.61656836572</v>
      </c>
    </row>
    <row r="128" spans="2:7" ht="12.75">
      <c r="B128">
        <v>41</v>
      </c>
      <c r="C128" s="13">
        <f t="shared" si="9"/>
        <v>134468.61656836572</v>
      </c>
      <c r="D128" s="43">
        <f t="shared" si="5"/>
        <v>-7265.424329223836</v>
      </c>
      <c r="E128" s="43">
        <f t="shared" si="6"/>
        <v>-1008.5146242627245</v>
      </c>
      <c r="F128" s="43">
        <f t="shared" si="7"/>
        <v>-6256.909704961112</v>
      </c>
      <c r="G128" s="13">
        <f t="shared" si="8"/>
        <v>128211.7068634046</v>
      </c>
    </row>
    <row r="129" spans="2:7" ht="12.75">
      <c r="B129">
        <v>42</v>
      </c>
      <c r="C129" s="13">
        <f t="shared" si="9"/>
        <v>128211.7068634046</v>
      </c>
      <c r="D129" s="43">
        <f t="shared" si="5"/>
        <v>-7265.424329223836</v>
      </c>
      <c r="E129" s="43">
        <f t="shared" si="6"/>
        <v>-961.5878014755161</v>
      </c>
      <c r="F129" s="43">
        <f t="shared" si="7"/>
        <v>-6303.83652774832</v>
      </c>
      <c r="G129" s="13">
        <f t="shared" si="8"/>
        <v>121907.87033565628</v>
      </c>
    </row>
    <row r="130" spans="2:7" ht="12.75">
      <c r="B130">
        <v>43</v>
      </c>
      <c r="C130" s="13">
        <f t="shared" si="9"/>
        <v>121907.87033565628</v>
      </c>
      <c r="D130" s="43">
        <f t="shared" si="5"/>
        <v>-7265.424329223836</v>
      </c>
      <c r="E130" s="43">
        <f t="shared" si="6"/>
        <v>-914.3090275174028</v>
      </c>
      <c r="F130" s="43">
        <f t="shared" si="7"/>
        <v>-6351.1153017064335</v>
      </c>
      <c r="G130" s="13">
        <f t="shared" si="8"/>
        <v>115556.75503394984</v>
      </c>
    </row>
    <row r="131" spans="2:7" ht="12.75">
      <c r="B131">
        <v>44</v>
      </c>
      <c r="C131" s="13">
        <f t="shared" si="9"/>
        <v>115556.75503394984</v>
      </c>
      <c r="D131" s="43">
        <f t="shared" si="5"/>
        <v>-7265.424329223836</v>
      </c>
      <c r="E131" s="43">
        <f t="shared" si="6"/>
        <v>-866.6756627546038</v>
      </c>
      <c r="F131" s="43">
        <f t="shared" si="7"/>
        <v>-6398.748666469232</v>
      </c>
      <c r="G131" s="13">
        <f t="shared" si="8"/>
        <v>109158.00636748062</v>
      </c>
    </row>
    <row r="132" spans="2:7" ht="12.75">
      <c r="B132">
        <v>45</v>
      </c>
      <c r="C132" s="13">
        <f t="shared" si="9"/>
        <v>109158.00636748062</v>
      </c>
      <c r="D132" s="43">
        <f t="shared" si="5"/>
        <v>-7265.424329223836</v>
      </c>
      <c r="E132" s="43">
        <f t="shared" si="6"/>
        <v>-818.6850477560836</v>
      </c>
      <c r="F132" s="43">
        <f t="shared" si="7"/>
        <v>-6446.739281467752</v>
      </c>
      <c r="G132" s="13">
        <f t="shared" si="8"/>
        <v>102711.26708601286</v>
      </c>
    </row>
    <row r="133" spans="2:7" ht="12.75">
      <c r="B133">
        <v>46</v>
      </c>
      <c r="C133" s="13">
        <f t="shared" si="9"/>
        <v>102711.26708601286</v>
      </c>
      <c r="D133" s="43">
        <f t="shared" si="5"/>
        <v>-7265.424329223836</v>
      </c>
      <c r="E133" s="43">
        <f t="shared" si="6"/>
        <v>-770.3345031450756</v>
      </c>
      <c r="F133" s="43">
        <f t="shared" si="7"/>
        <v>-6495.089826078761</v>
      </c>
      <c r="G133" s="13">
        <f t="shared" si="8"/>
        <v>96216.17725993409</v>
      </c>
    </row>
    <row r="134" spans="2:7" ht="12.75">
      <c r="B134">
        <v>47</v>
      </c>
      <c r="C134" s="13">
        <f t="shared" si="9"/>
        <v>96216.17725993409</v>
      </c>
      <c r="D134" s="43">
        <f t="shared" si="5"/>
        <v>-7265.424329223836</v>
      </c>
      <c r="E134" s="43">
        <f t="shared" si="6"/>
        <v>-721.6213294494833</v>
      </c>
      <c r="F134" s="43">
        <f t="shared" si="7"/>
        <v>-6543.802999774352</v>
      </c>
      <c r="G134" s="13">
        <f t="shared" si="8"/>
        <v>89672.37426015973</v>
      </c>
    </row>
    <row r="135" spans="2:7" ht="12.75">
      <c r="B135">
        <v>48</v>
      </c>
      <c r="C135" s="13">
        <f t="shared" si="9"/>
        <v>89672.37426015973</v>
      </c>
      <c r="D135" s="43">
        <f t="shared" si="5"/>
        <v>-7265.424329223836</v>
      </c>
      <c r="E135" s="43">
        <f t="shared" si="6"/>
        <v>-672.5428069511757</v>
      </c>
      <c r="F135" s="43">
        <f t="shared" si="7"/>
        <v>-6592.881522272661</v>
      </c>
      <c r="G135" s="13">
        <f t="shared" si="8"/>
        <v>83079.49273788708</v>
      </c>
    </row>
    <row r="136" spans="2:7" ht="12.75">
      <c r="B136">
        <v>49</v>
      </c>
      <c r="C136" s="13">
        <f t="shared" si="9"/>
        <v>83079.49273788708</v>
      </c>
      <c r="D136" s="43">
        <f t="shared" si="5"/>
        <v>-7265.424329223836</v>
      </c>
      <c r="E136" s="43">
        <f t="shared" si="6"/>
        <v>-623.0961955341304</v>
      </c>
      <c r="F136" s="43">
        <f t="shared" si="7"/>
        <v>-6642.328133689705</v>
      </c>
      <c r="G136" s="13">
        <f t="shared" si="8"/>
        <v>76437.16460419737</v>
      </c>
    </row>
    <row r="137" spans="2:7" ht="12.75">
      <c r="B137">
        <v>50</v>
      </c>
      <c r="C137" s="13">
        <f t="shared" si="9"/>
        <v>76437.16460419737</v>
      </c>
      <c r="D137" s="43">
        <f t="shared" si="5"/>
        <v>-7265.424329223836</v>
      </c>
      <c r="E137" s="43">
        <f t="shared" si="6"/>
        <v>-573.2787345314575</v>
      </c>
      <c r="F137" s="43">
        <f t="shared" si="7"/>
        <v>-6692.145594692379</v>
      </c>
      <c r="G137" s="13">
        <f t="shared" si="8"/>
        <v>69745.01900950499</v>
      </c>
    </row>
    <row r="138" spans="2:7" ht="12.75">
      <c r="B138">
        <v>51</v>
      </c>
      <c r="C138" s="13">
        <f t="shared" si="9"/>
        <v>69745.01900950499</v>
      </c>
      <c r="D138" s="43">
        <f t="shared" si="5"/>
        <v>-7265.424329223836</v>
      </c>
      <c r="E138" s="43">
        <f t="shared" si="6"/>
        <v>-523.0876425712634</v>
      </c>
      <c r="F138" s="43">
        <f t="shared" si="7"/>
        <v>-6742.336686652573</v>
      </c>
      <c r="G138" s="13">
        <f t="shared" si="8"/>
        <v>63002.682322852415</v>
      </c>
    </row>
    <row r="139" spans="2:7" ht="12.75">
      <c r="B139">
        <v>52</v>
      </c>
      <c r="C139" s="13">
        <f t="shared" si="9"/>
        <v>63002.682322852415</v>
      </c>
      <c r="D139" s="43">
        <f t="shared" si="5"/>
        <v>-7265.424329223836</v>
      </c>
      <c r="E139" s="43">
        <f t="shared" si="6"/>
        <v>-472.5201174213696</v>
      </c>
      <c r="F139" s="43">
        <f t="shared" si="7"/>
        <v>-6792.904211802466</v>
      </c>
      <c r="G139" s="13">
        <f t="shared" si="8"/>
        <v>56209.77811104995</v>
      </c>
    </row>
    <row r="140" spans="2:7" ht="12.75">
      <c r="B140">
        <v>53</v>
      </c>
      <c r="C140" s="13">
        <f t="shared" si="9"/>
        <v>56209.77811104995</v>
      </c>
      <c r="D140" s="43">
        <f t="shared" si="5"/>
        <v>-7265.424329223836</v>
      </c>
      <c r="E140" s="43">
        <f t="shared" si="6"/>
        <v>-421.57333583284895</v>
      </c>
      <c r="F140" s="43">
        <f t="shared" si="7"/>
        <v>-6843.850993390987</v>
      </c>
      <c r="G140" s="13">
        <f t="shared" si="8"/>
        <v>49365.92711765896</v>
      </c>
    </row>
    <row r="141" spans="2:7" ht="12.75">
      <c r="B141">
        <v>54</v>
      </c>
      <c r="C141" s="13">
        <f t="shared" si="9"/>
        <v>49365.92711765896</v>
      </c>
      <c r="D141" s="43">
        <f t="shared" si="5"/>
        <v>-7265.424329223836</v>
      </c>
      <c r="E141" s="43">
        <f t="shared" si="6"/>
        <v>-370.2444533824168</v>
      </c>
      <c r="F141" s="43">
        <f t="shared" si="7"/>
        <v>-6895.17987584142</v>
      </c>
      <c r="G141" s="13">
        <f t="shared" si="8"/>
        <v>42470.74724181754</v>
      </c>
    </row>
    <row r="142" spans="2:7" ht="12.75">
      <c r="B142">
        <v>55</v>
      </c>
      <c r="C142" s="13">
        <f t="shared" si="9"/>
        <v>42470.74724181754</v>
      </c>
      <c r="D142" s="43">
        <f t="shared" si="5"/>
        <v>-7265.424329223836</v>
      </c>
      <c r="E142" s="43">
        <f t="shared" si="6"/>
        <v>-318.5306043136044</v>
      </c>
      <c r="F142" s="43">
        <f t="shared" si="7"/>
        <v>-6946.893724910232</v>
      </c>
      <c r="G142" s="13">
        <f t="shared" si="8"/>
        <v>35523.85351690731</v>
      </c>
    </row>
    <row r="143" spans="2:7" ht="12.75">
      <c r="B143">
        <v>56</v>
      </c>
      <c r="C143" s="13">
        <f t="shared" si="9"/>
        <v>35523.85351690731</v>
      </c>
      <c r="D143" s="43">
        <f t="shared" si="5"/>
        <v>-7265.424329223836</v>
      </c>
      <c r="E143" s="43">
        <f t="shared" si="6"/>
        <v>-266.42890137677824</v>
      </c>
      <c r="F143" s="43">
        <f t="shared" si="7"/>
        <v>-6998.995427847058</v>
      </c>
      <c r="G143" s="13">
        <f t="shared" si="8"/>
        <v>28524.85808906025</v>
      </c>
    </row>
    <row r="144" spans="2:7" ht="12.75">
      <c r="B144">
        <v>57</v>
      </c>
      <c r="C144" s="13">
        <f t="shared" si="9"/>
        <v>28524.85808906025</v>
      </c>
      <c r="D144" s="43">
        <f t="shared" si="5"/>
        <v>-7265.424329223836</v>
      </c>
      <c r="E144" s="43">
        <f t="shared" si="6"/>
        <v>-213.93643566792423</v>
      </c>
      <c r="F144" s="43">
        <f t="shared" si="7"/>
        <v>-7051.487893555912</v>
      </c>
      <c r="G144" s="13">
        <f t="shared" si="8"/>
        <v>21473.370195504336</v>
      </c>
    </row>
    <row r="145" spans="2:7" ht="12.75">
      <c r="B145">
        <v>58</v>
      </c>
      <c r="C145" s="13">
        <f t="shared" si="9"/>
        <v>21473.370195504336</v>
      </c>
      <c r="D145" s="43">
        <f t="shared" si="5"/>
        <v>-7265.424329223836</v>
      </c>
      <c r="E145" s="43">
        <f t="shared" si="6"/>
        <v>-161.0502764662546</v>
      </c>
      <c r="F145" s="43">
        <f t="shared" si="7"/>
        <v>-7104.374052757582</v>
      </c>
      <c r="G145" s="13">
        <f t="shared" si="8"/>
        <v>14368.996142746753</v>
      </c>
    </row>
    <row r="146" spans="2:7" ht="12.75">
      <c r="B146">
        <v>59</v>
      </c>
      <c r="C146" s="13">
        <f t="shared" si="9"/>
        <v>14368.996142746753</v>
      </c>
      <c r="D146" s="43">
        <f t="shared" si="5"/>
        <v>-7265.424329223836</v>
      </c>
      <c r="E146" s="43">
        <f t="shared" si="6"/>
        <v>-107.76747107057191</v>
      </c>
      <c r="F146" s="43">
        <f t="shared" si="7"/>
        <v>-7157.656858153264</v>
      </c>
      <c r="G146" s="13">
        <f t="shared" si="8"/>
        <v>7211.3392845934895</v>
      </c>
    </row>
    <row r="147" spans="2:7" ht="12.75">
      <c r="B147">
        <v>60</v>
      </c>
      <c r="C147" s="13">
        <f t="shared" si="9"/>
        <v>7211.3392845934895</v>
      </c>
      <c r="D147" s="43">
        <f t="shared" si="5"/>
        <v>-7265.424329223836</v>
      </c>
      <c r="E147" s="43">
        <f t="shared" si="6"/>
        <v>-54.085044634422225</v>
      </c>
      <c r="F147" s="43">
        <f t="shared" si="7"/>
        <v>-7211.339284589414</v>
      </c>
      <c r="G147" s="13">
        <f t="shared" si="8"/>
        <v>4.0754457586444914E-09</v>
      </c>
    </row>
    <row r="148" spans="2:6" ht="12.75">
      <c r="B148" t="s">
        <v>134</v>
      </c>
      <c r="C148" s="6" t="s">
        <v>283</v>
      </c>
      <c r="D148" s="6"/>
      <c r="E148" s="44">
        <f>SUM(E88:E147)</f>
        <v>-85925.4597534343</v>
      </c>
      <c r="F148" s="43" t="s">
        <v>134</v>
      </c>
    </row>
    <row r="149" ht="12.75">
      <c r="E149" s="30" t="s">
        <v>134</v>
      </c>
    </row>
    <row r="151" ht="12.75">
      <c r="A151" t="s">
        <v>341</v>
      </c>
    </row>
    <row r="153" spans="2:5" ht="12.75">
      <c r="B153" t="s">
        <v>342</v>
      </c>
      <c r="E153" s="5">
        <v>500000</v>
      </c>
    </row>
    <row r="154" spans="2:5" ht="12.75">
      <c r="B154" t="s">
        <v>251</v>
      </c>
      <c r="E154" s="30">
        <v>0.08</v>
      </c>
    </row>
    <row r="155" spans="2:5" ht="12.75">
      <c r="B155" t="s">
        <v>343</v>
      </c>
      <c r="D155" s="30">
        <v>0.01</v>
      </c>
      <c r="E155" s="13">
        <f>E153*D155</f>
        <v>5000</v>
      </c>
    </row>
    <row r="156" spans="2:5" ht="12.75">
      <c r="B156" t="s">
        <v>344</v>
      </c>
      <c r="D156" s="30">
        <v>0.0025</v>
      </c>
      <c r="E156" s="13">
        <f>D156*E153</f>
        <v>1250</v>
      </c>
    </row>
    <row r="157" spans="2:5" ht="12.75">
      <c r="B157" t="s">
        <v>345</v>
      </c>
      <c r="E157">
        <f>E155/E156</f>
        <v>4</v>
      </c>
    </row>
    <row r="159" ht="12.75">
      <c r="B159" t="s">
        <v>347</v>
      </c>
    </row>
    <row r="160" ht="12.75">
      <c r="B160" t="s">
        <v>346</v>
      </c>
    </row>
    <row r="163" ht="12.75">
      <c r="A163" t="s">
        <v>414</v>
      </c>
    </row>
    <row r="165" ht="15.75">
      <c r="B165" s="54" t="s">
        <v>417</v>
      </c>
    </row>
    <row r="166" ht="12.75">
      <c r="B166" s="54" t="s">
        <v>134</v>
      </c>
    </row>
    <row r="167" ht="12.75">
      <c r="B167" s="54" t="s">
        <v>415</v>
      </c>
    </row>
    <row r="168" ht="15.75">
      <c r="B168" s="54" t="s">
        <v>418</v>
      </c>
    </row>
    <row r="169" ht="12.75">
      <c r="B169" s="54" t="s">
        <v>416</v>
      </c>
    </row>
    <row r="170" ht="15.75">
      <c r="B170" s="54" t="s">
        <v>419</v>
      </c>
    </row>
    <row r="172" spans="2:8" ht="12.75">
      <c r="B172" t="s">
        <v>420</v>
      </c>
      <c r="H172" s="30">
        <v>0.028</v>
      </c>
    </row>
    <row r="173" spans="2:8" ht="12.75">
      <c r="B173" t="s">
        <v>421</v>
      </c>
      <c r="H173">
        <v>1.37</v>
      </c>
    </row>
    <row r="174" spans="2:8" ht="12.75">
      <c r="B174" t="s">
        <v>422</v>
      </c>
      <c r="H174" s="30">
        <v>0.125</v>
      </c>
    </row>
    <row r="176" spans="5:8" ht="12.75">
      <c r="E176" s="6" t="s">
        <v>423</v>
      </c>
      <c r="F176" s="6"/>
      <c r="G176" s="6"/>
      <c r="H176" s="66">
        <f>H172+(H173*(H174-H172))</f>
        <v>0.16089</v>
      </c>
    </row>
  </sheetData>
  <printOptions/>
  <pageMargins left="0.75" right="0.75" top="1" bottom="1" header="0.5" footer="0.5"/>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Fundamentals of Corporate Finance</dc:title>
  <dc:subject>Corporate Finance Examples</dc:subject>
  <dc:creator>Matt Evans</dc:creator>
  <cp:keywords/>
  <dc:description>Supplemental Workbook for Fundamentals of Corporate Finance</dc:description>
  <cp:lastModifiedBy>Authorized User</cp:lastModifiedBy>
  <dcterms:created xsi:type="dcterms:W3CDTF">2009-06-25T23:33:56Z</dcterms:created>
  <dcterms:modified xsi:type="dcterms:W3CDTF">2010-01-27T14:29:19Z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