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5480" windowHeight="6540" tabRatio="824"/>
  </bookViews>
  <sheets>
    <sheet name="Main Menu" sheetId="1" r:id="rId1"/>
    <sheet name="1 - Payment Functions" sheetId="2" r:id="rId2"/>
    <sheet name="2 - Interest Rate Functions" sheetId="4" r:id="rId3"/>
    <sheet name="3 - Yield Rate Functions" sheetId="5" r:id="rId4"/>
    <sheet name="4 - Depreciation Functions" sheetId="7" r:id="rId5"/>
  </sheets>
  <calcPr calcId="145621"/>
</workbook>
</file>

<file path=xl/calcChain.xml><?xml version="1.0" encoding="utf-8"?>
<calcChain xmlns="http://schemas.openxmlformats.org/spreadsheetml/2006/main">
  <c r="E16" i="4" l="1"/>
  <c r="E18" i="7" l="1"/>
  <c r="D84" i="7"/>
  <c r="E84" i="7"/>
  <c r="F84" i="7"/>
  <c r="C84" i="7"/>
  <c r="D83" i="7"/>
  <c r="E83" i="7"/>
  <c r="F83" i="7"/>
  <c r="C83" i="7"/>
  <c r="D74" i="7"/>
  <c r="E74" i="7"/>
  <c r="F74" i="7"/>
  <c r="C74" i="7"/>
  <c r="D61" i="7"/>
  <c r="E61" i="7"/>
  <c r="F61" i="7"/>
  <c r="C61" i="7"/>
  <c r="D48" i="7"/>
  <c r="E48" i="7"/>
  <c r="F48" i="7"/>
  <c r="C48" i="7"/>
  <c r="D35" i="7"/>
  <c r="E35" i="7"/>
  <c r="F35" i="7"/>
  <c r="C35" i="7"/>
  <c r="D22" i="7"/>
  <c r="E22" i="7"/>
  <c r="F22" i="7"/>
  <c r="C22" i="7"/>
  <c r="E19" i="7"/>
  <c r="E20" i="7"/>
  <c r="E21" i="7"/>
  <c r="E23" i="7"/>
  <c r="E24" i="7"/>
  <c r="E25" i="7"/>
  <c r="E26" i="7"/>
  <c r="E27" i="7"/>
  <c r="E28" i="7"/>
  <c r="E29" i="7"/>
  <c r="E30" i="7"/>
  <c r="E31" i="7"/>
  <c r="E32" i="7"/>
  <c r="E33" i="7"/>
  <c r="E34" i="7"/>
  <c r="E36" i="7"/>
  <c r="E37" i="7"/>
  <c r="E38" i="7"/>
  <c r="E39" i="7"/>
  <c r="E40" i="7"/>
  <c r="E41" i="7"/>
  <c r="E42" i="7"/>
  <c r="E43" i="7"/>
  <c r="E44" i="7"/>
  <c r="E45" i="7"/>
  <c r="E46" i="7"/>
  <c r="E47" i="7"/>
  <c r="E49" i="7"/>
  <c r="E50" i="7"/>
  <c r="E51" i="7"/>
  <c r="E52" i="7"/>
  <c r="E53" i="7"/>
  <c r="E54" i="7"/>
  <c r="E55" i="7"/>
  <c r="E56" i="7"/>
  <c r="E57" i="7"/>
  <c r="E58" i="7"/>
  <c r="E59" i="7"/>
  <c r="E60" i="7"/>
  <c r="E62" i="7"/>
  <c r="E63" i="7"/>
  <c r="E64" i="7"/>
  <c r="E65" i="7"/>
  <c r="E66" i="7"/>
  <c r="E67" i="7"/>
  <c r="E68" i="7"/>
  <c r="E69" i="7"/>
  <c r="E70" i="7"/>
  <c r="E71" i="7"/>
  <c r="E72" i="7"/>
  <c r="E73" i="7"/>
  <c r="E75" i="7"/>
  <c r="E76" i="7"/>
  <c r="E77" i="7"/>
  <c r="E78" i="7"/>
  <c r="E79" i="7"/>
  <c r="E80" i="7"/>
  <c r="E81" i="7"/>
  <c r="E82" i="7"/>
  <c r="I18" i="7"/>
  <c r="H18" i="7"/>
  <c r="H19" i="7" s="1"/>
  <c r="D77" i="7"/>
  <c r="D78" i="7"/>
  <c r="D79" i="7"/>
  <c r="D80" i="7"/>
  <c r="D81" i="7"/>
  <c r="D65" i="7"/>
  <c r="D66" i="7"/>
  <c r="D67" i="7"/>
  <c r="D68" i="7"/>
  <c r="D69" i="7"/>
  <c r="D70" i="7"/>
  <c r="D71" i="7"/>
  <c r="D72" i="7"/>
  <c r="D73" i="7"/>
  <c r="D75" i="7"/>
  <c r="D76" i="7"/>
  <c r="D50" i="7"/>
  <c r="D51" i="7"/>
  <c r="D52" i="7"/>
  <c r="D53" i="7"/>
  <c r="D54" i="7"/>
  <c r="D55" i="7"/>
  <c r="D56" i="7"/>
  <c r="D57" i="7"/>
  <c r="D58" i="7"/>
  <c r="D59" i="7"/>
  <c r="D60" i="7"/>
  <c r="D62" i="7"/>
  <c r="D63" i="7"/>
  <c r="D64" i="7"/>
  <c r="D39" i="7"/>
  <c r="D40" i="7"/>
  <c r="D41" i="7"/>
  <c r="D42" i="7"/>
  <c r="D43" i="7"/>
  <c r="D44" i="7"/>
  <c r="D45" i="7"/>
  <c r="D46" i="7"/>
  <c r="D47" i="7"/>
  <c r="D49" i="7"/>
  <c r="D19" i="7"/>
  <c r="D20" i="7"/>
  <c r="D21" i="7"/>
  <c r="D23" i="7"/>
  <c r="D24" i="7"/>
  <c r="D25" i="7"/>
  <c r="D26" i="7"/>
  <c r="D27" i="7"/>
  <c r="D28" i="7"/>
  <c r="D29" i="7"/>
  <c r="D30" i="7"/>
  <c r="D31" i="7"/>
  <c r="D32" i="7"/>
  <c r="D33" i="7"/>
  <c r="D34" i="7"/>
  <c r="D36" i="7"/>
  <c r="D37" i="7"/>
  <c r="D38" i="7"/>
  <c r="D18" i="7"/>
  <c r="F69" i="7"/>
  <c r="F70" i="7"/>
  <c r="F71" i="7"/>
  <c r="F72" i="7"/>
  <c r="F73" i="7"/>
  <c r="F75" i="7"/>
  <c r="F76" i="7"/>
  <c r="F77" i="7"/>
  <c r="F78" i="7"/>
  <c r="F79" i="7"/>
  <c r="F80" i="7"/>
  <c r="F81" i="7"/>
  <c r="F82" i="7"/>
  <c r="F56" i="7"/>
  <c r="F57" i="7"/>
  <c r="F58" i="7"/>
  <c r="F59" i="7"/>
  <c r="F60" i="7"/>
  <c r="F62" i="7"/>
  <c r="F63" i="7"/>
  <c r="F64" i="7"/>
  <c r="F65" i="7"/>
  <c r="F66" i="7"/>
  <c r="F67" i="7"/>
  <c r="F68" i="7"/>
  <c r="F42" i="7"/>
  <c r="F43" i="7"/>
  <c r="F44" i="7"/>
  <c r="F45" i="7"/>
  <c r="F46" i="7"/>
  <c r="F47" i="7"/>
  <c r="F49" i="7"/>
  <c r="F50" i="7"/>
  <c r="F51" i="7"/>
  <c r="F52" i="7"/>
  <c r="F53" i="7"/>
  <c r="F54" i="7"/>
  <c r="F55" i="7"/>
  <c r="F26" i="7"/>
  <c r="F27" i="7"/>
  <c r="F28" i="7"/>
  <c r="F29" i="7"/>
  <c r="F30" i="7"/>
  <c r="F31" i="7"/>
  <c r="F32" i="7"/>
  <c r="F33" i="7"/>
  <c r="F34" i="7"/>
  <c r="F36" i="7"/>
  <c r="F37" i="7"/>
  <c r="F38" i="7"/>
  <c r="F39" i="7"/>
  <c r="F40" i="7"/>
  <c r="F41" i="7"/>
  <c r="F23" i="7"/>
  <c r="F24" i="7"/>
  <c r="F25" i="7"/>
  <c r="F19" i="7"/>
  <c r="F20" i="7"/>
  <c r="F21" i="7"/>
  <c r="F18" i="7"/>
  <c r="J18" i="7" s="1"/>
  <c r="C82" i="7"/>
  <c r="C81" i="7"/>
  <c r="C80" i="7"/>
  <c r="C79" i="7"/>
  <c r="C78" i="7"/>
  <c r="C77" i="7"/>
  <c r="C76" i="7"/>
  <c r="C75" i="7"/>
  <c r="C73" i="7"/>
  <c r="C72" i="7"/>
  <c r="C71" i="7"/>
  <c r="C70" i="7"/>
  <c r="C69" i="7"/>
  <c r="C68" i="7"/>
  <c r="C67" i="7"/>
  <c r="C66" i="7"/>
  <c r="C65" i="7"/>
  <c r="C64" i="7"/>
  <c r="C63" i="7"/>
  <c r="C62" i="7"/>
  <c r="C60" i="7"/>
  <c r="C59" i="7"/>
  <c r="C58" i="7"/>
  <c r="C57" i="7"/>
  <c r="C56" i="7"/>
  <c r="C55" i="7"/>
  <c r="C54" i="7"/>
  <c r="C53" i="7"/>
  <c r="C52" i="7"/>
  <c r="C51" i="7"/>
  <c r="C50" i="7"/>
  <c r="C49" i="7"/>
  <c r="C47" i="7"/>
  <c r="C46" i="7"/>
  <c r="C45" i="7"/>
  <c r="C44" i="7"/>
  <c r="C43" i="7"/>
  <c r="C42" i="7"/>
  <c r="C41" i="7"/>
  <c r="C40" i="7"/>
  <c r="C39" i="7"/>
  <c r="C38" i="7"/>
  <c r="C37" i="7"/>
  <c r="C36" i="7"/>
  <c r="C34" i="7"/>
  <c r="C33" i="7"/>
  <c r="C32" i="7"/>
  <c r="C31" i="7"/>
  <c r="C30" i="7"/>
  <c r="C29" i="7"/>
  <c r="C28" i="7"/>
  <c r="C27" i="7"/>
  <c r="C26" i="7"/>
  <c r="C25" i="7"/>
  <c r="C24" i="7"/>
  <c r="C23" i="7"/>
  <c r="C19" i="7"/>
  <c r="C20" i="7"/>
  <c r="C21" i="7"/>
  <c r="C18" i="7"/>
  <c r="G18" i="7" s="1"/>
  <c r="G19" i="7" l="1"/>
  <c r="G20" i="7" s="1"/>
  <c r="G21" i="7" s="1"/>
  <c r="G23" i="7" s="1"/>
  <c r="G24" i="7" s="1"/>
  <c r="G25" i="7" s="1"/>
  <c r="G26" i="7" s="1"/>
  <c r="G27" i="7" s="1"/>
  <c r="G28" i="7" s="1"/>
  <c r="G29" i="7" s="1"/>
  <c r="G30" i="7" s="1"/>
  <c r="G31" i="7" s="1"/>
  <c r="G32" i="7" s="1"/>
  <c r="G33" i="7" s="1"/>
  <c r="G34" i="7" s="1"/>
  <c r="G36" i="7" s="1"/>
  <c r="G37" i="7" s="1"/>
  <c r="G38" i="7" s="1"/>
  <c r="G39" i="7" s="1"/>
  <c r="G40" i="7" s="1"/>
  <c r="G41" i="7" s="1"/>
  <c r="G42" i="7" s="1"/>
  <c r="G43" i="7" s="1"/>
  <c r="G44" i="7" s="1"/>
  <c r="G45" i="7" s="1"/>
  <c r="G46" i="7" s="1"/>
  <c r="G47" i="7" s="1"/>
  <c r="G49" i="7" s="1"/>
  <c r="G50" i="7" s="1"/>
  <c r="G51" i="7" s="1"/>
  <c r="G52" i="7" s="1"/>
  <c r="G53" i="7" s="1"/>
  <c r="G54" i="7" s="1"/>
  <c r="G55" i="7" s="1"/>
  <c r="G56" i="7" s="1"/>
  <c r="G57" i="7" s="1"/>
  <c r="G58" i="7" s="1"/>
  <c r="G59" i="7" s="1"/>
  <c r="G60" i="7" s="1"/>
  <c r="G62" i="7" s="1"/>
  <c r="G63" i="7" s="1"/>
  <c r="G64" i="7" s="1"/>
  <c r="G65" i="7" s="1"/>
  <c r="G66" i="7" s="1"/>
  <c r="G67" i="7" s="1"/>
  <c r="G68" i="7" s="1"/>
  <c r="G69" i="7" s="1"/>
  <c r="G70" i="7" s="1"/>
  <c r="G71" i="7" s="1"/>
  <c r="G72" i="7" s="1"/>
  <c r="G73" i="7" s="1"/>
  <c r="G75" i="7" s="1"/>
  <c r="G76" i="7" s="1"/>
  <c r="G77" i="7" s="1"/>
  <c r="G78" i="7" s="1"/>
  <c r="G79" i="7" s="1"/>
  <c r="G80" i="7" s="1"/>
  <c r="G81" i="7" s="1"/>
  <c r="G82" i="7" s="1"/>
  <c r="J19" i="7"/>
  <c r="J20" i="7" s="1"/>
  <c r="J21" i="7" s="1"/>
  <c r="J23" i="7" s="1"/>
  <c r="J24" i="7" s="1"/>
  <c r="J25" i="7" s="1"/>
  <c r="J26" i="7" s="1"/>
  <c r="J27" i="7" s="1"/>
  <c r="J28" i="7" s="1"/>
  <c r="J29" i="7" s="1"/>
  <c r="J30" i="7" s="1"/>
  <c r="J31" i="7" s="1"/>
  <c r="J32" i="7" s="1"/>
  <c r="J33" i="7" s="1"/>
  <c r="J34" i="7" s="1"/>
  <c r="J36" i="7" s="1"/>
  <c r="J37" i="7" s="1"/>
  <c r="J38" i="7" s="1"/>
  <c r="J39" i="7" s="1"/>
  <c r="J40" i="7" s="1"/>
  <c r="J41" i="7" s="1"/>
  <c r="J42" i="7" s="1"/>
  <c r="J43" i="7" s="1"/>
  <c r="J44" i="7" s="1"/>
  <c r="J45" i="7" s="1"/>
  <c r="J46" i="7" s="1"/>
  <c r="J47" i="7" s="1"/>
  <c r="J49" i="7" s="1"/>
  <c r="J50" i="7" s="1"/>
  <c r="J51" i="7" s="1"/>
  <c r="J52" i="7" s="1"/>
  <c r="J53" i="7" s="1"/>
  <c r="J54" i="7" s="1"/>
  <c r="J55" i="7" s="1"/>
  <c r="J56" i="7" s="1"/>
  <c r="J57" i="7" s="1"/>
  <c r="J58" i="7" s="1"/>
  <c r="J59" i="7" s="1"/>
  <c r="J60" i="7" s="1"/>
  <c r="J62" i="7" s="1"/>
  <c r="J63" i="7" s="1"/>
  <c r="J64" i="7" s="1"/>
  <c r="J65" i="7" s="1"/>
  <c r="J66" i="7" s="1"/>
  <c r="J67" i="7" s="1"/>
  <c r="J68" i="7" s="1"/>
  <c r="J69" i="7" s="1"/>
  <c r="J70" i="7" s="1"/>
  <c r="J71" i="7" s="1"/>
  <c r="J72" i="7" s="1"/>
  <c r="J73" i="7" s="1"/>
  <c r="J75" i="7" s="1"/>
  <c r="J76" i="7" s="1"/>
  <c r="J77" i="7" s="1"/>
  <c r="J78" i="7" s="1"/>
  <c r="J79" i="7" s="1"/>
  <c r="J80" i="7" s="1"/>
  <c r="J81" i="7" s="1"/>
  <c r="J82" i="7" s="1"/>
  <c r="H20" i="7"/>
  <c r="H21" i="7" s="1"/>
  <c r="H23" i="7" s="1"/>
  <c r="H24" i="7" s="1"/>
  <c r="H25" i="7" s="1"/>
  <c r="H26" i="7" s="1"/>
  <c r="H27" i="7" s="1"/>
  <c r="H28" i="7" s="1"/>
  <c r="H29" i="7" s="1"/>
  <c r="H30" i="7" s="1"/>
  <c r="H31" i="7" s="1"/>
  <c r="H32" i="7" s="1"/>
  <c r="H33" i="7" s="1"/>
  <c r="H34" i="7" s="1"/>
  <c r="H36" i="7" s="1"/>
  <c r="H37" i="7" s="1"/>
  <c r="H38" i="7" s="1"/>
  <c r="H39" i="7" s="1"/>
  <c r="H40" i="7" s="1"/>
  <c r="H41" i="7" s="1"/>
  <c r="H42" i="7" s="1"/>
  <c r="H43" i="7" s="1"/>
  <c r="H44" i="7" s="1"/>
  <c r="H45" i="7" s="1"/>
  <c r="H46" i="7" s="1"/>
  <c r="H47" i="7" s="1"/>
  <c r="H49" i="7" s="1"/>
  <c r="H50" i="7" s="1"/>
  <c r="H51" i="7" s="1"/>
  <c r="H52" i="7" s="1"/>
  <c r="H53" i="7" s="1"/>
  <c r="H54" i="7" s="1"/>
  <c r="H55" i="7" s="1"/>
  <c r="H56" i="7" s="1"/>
  <c r="H57" i="7" s="1"/>
  <c r="H58" i="7" s="1"/>
  <c r="H59" i="7" s="1"/>
  <c r="H60" i="7" s="1"/>
  <c r="H62" i="7" s="1"/>
  <c r="H63" i="7" s="1"/>
  <c r="H64" i="7" s="1"/>
  <c r="H65" i="7" s="1"/>
  <c r="H66" i="7" s="1"/>
  <c r="H67" i="7" s="1"/>
  <c r="H68" i="7" s="1"/>
  <c r="H69" i="7" s="1"/>
  <c r="H70" i="7" s="1"/>
  <c r="H71" i="7" s="1"/>
  <c r="H72" i="7" s="1"/>
  <c r="H73" i="7" s="1"/>
  <c r="H75" i="7" s="1"/>
  <c r="H76" i="7" s="1"/>
  <c r="H77" i="7" s="1"/>
  <c r="H78" i="7" s="1"/>
  <c r="H79" i="7" s="1"/>
  <c r="H80" i="7" s="1"/>
  <c r="H81" i="7" s="1"/>
  <c r="H82" i="7" s="1"/>
  <c r="I19" i="7"/>
  <c r="I20" i="7" s="1"/>
  <c r="I21" i="7" s="1"/>
  <c r="C26" i="5"/>
  <c r="C25" i="5"/>
  <c r="C16" i="5" l="1"/>
  <c r="C15" i="5"/>
  <c r="C17" i="5" s="1"/>
  <c r="I23" i="7" l="1"/>
  <c r="E30" i="4"/>
  <c r="E28" i="4"/>
  <c r="E14" i="4" l="1"/>
  <c r="G30" i="2"/>
  <c r="G31" i="2"/>
  <c r="G32" i="2"/>
  <c r="G24" i="2"/>
  <c r="F24" i="2"/>
  <c r="F54" i="2"/>
  <c r="F46" i="2"/>
  <c r="F47" i="2"/>
  <c r="F35" i="2"/>
  <c r="F36" i="2"/>
  <c r="F37" i="2"/>
  <c r="F39" i="2"/>
  <c r="F40" i="2"/>
  <c r="F41" i="2"/>
  <c r="F43" i="2"/>
  <c r="F44" i="2"/>
  <c r="F45" i="2"/>
  <c r="F28" i="2"/>
  <c r="F29" i="2"/>
  <c r="F30" i="2"/>
  <c r="F32" i="2"/>
  <c r="F33" i="2"/>
  <c r="F26" i="2"/>
  <c r="G54" i="2"/>
  <c r="G46" i="2"/>
  <c r="G34" i="2"/>
  <c r="G35" i="2"/>
  <c r="G36" i="2"/>
  <c r="G38" i="2"/>
  <c r="G39" i="2"/>
  <c r="G40" i="2"/>
  <c r="G42" i="2"/>
  <c r="G43" i="2"/>
  <c r="G44" i="2"/>
  <c r="G26" i="2"/>
  <c r="G27" i="2"/>
  <c r="G28" i="2"/>
  <c r="G25" i="2"/>
  <c r="B37" i="2"/>
  <c r="B41" i="2"/>
  <c r="B45" i="2"/>
  <c r="B26" i="2"/>
  <c r="B30" i="2"/>
  <c r="B34" i="2"/>
  <c r="H23" i="2"/>
  <c r="C17" i="2"/>
  <c r="C12" i="4" s="1"/>
  <c r="C14" i="2"/>
  <c r="G33" i="2" s="1"/>
  <c r="I24" i="7" l="1"/>
  <c r="B24" i="2"/>
  <c r="B33" i="2"/>
  <c r="B29" i="2"/>
  <c r="B25" i="2"/>
  <c r="B44" i="2"/>
  <c r="B40" i="2"/>
  <c r="E58" i="2"/>
  <c r="B36" i="2"/>
  <c r="B32" i="2"/>
  <c r="B28" i="2"/>
  <c r="B47" i="2"/>
  <c r="B43" i="2"/>
  <c r="B39" i="2"/>
  <c r="G29" i="2"/>
  <c r="G45" i="2"/>
  <c r="G41" i="2"/>
  <c r="G37" i="2"/>
  <c r="G55" i="2" s="1"/>
  <c r="G47" i="2"/>
  <c r="F25" i="2"/>
  <c r="F31" i="2"/>
  <c r="F27" i="2"/>
  <c r="F42" i="2"/>
  <c r="F55" i="2" s="1"/>
  <c r="F38" i="2"/>
  <c r="F34" i="2"/>
  <c r="B35" i="2"/>
  <c r="B31" i="2"/>
  <c r="B27" i="2"/>
  <c r="B46" i="2"/>
  <c r="B42" i="2"/>
  <c r="B38" i="2"/>
  <c r="E23" i="2"/>
  <c r="F48" i="2" l="1"/>
  <c r="D24" i="2"/>
  <c r="I25" i="7" l="1"/>
  <c r="E24" i="2"/>
  <c r="C25" i="2" s="1"/>
  <c r="I26" i="7" l="1"/>
  <c r="D25" i="2"/>
  <c r="E25" i="2" s="1"/>
  <c r="I27" i="7" l="1"/>
  <c r="C26" i="2"/>
  <c r="D26" i="2" s="1"/>
  <c r="E26" i="2" s="1"/>
  <c r="C27" i="2" s="1"/>
  <c r="I28" i="7" l="1"/>
  <c r="D27" i="2"/>
  <c r="E27" i="2" s="1"/>
  <c r="I29" i="7" l="1"/>
  <c r="C28" i="2"/>
  <c r="I30" i="7" l="1"/>
  <c r="D28" i="2"/>
  <c r="E28" i="2" s="1"/>
  <c r="I31" i="7" l="1"/>
  <c r="C29" i="2"/>
  <c r="D29" i="2" s="1"/>
  <c r="E29" i="2" s="1"/>
  <c r="C30" i="2" s="1"/>
  <c r="D30" i="2" s="1"/>
  <c r="E30" i="2" s="1"/>
  <c r="C31" i="2" s="1"/>
  <c r="D31" i="2" s="1"/>
  <c r="E31" i="2" s="1"/>
  <c r="I32" i="7" l="1"/>
  <c r="C32" i="2"/>
  <c r="D32" i="2" s="1"/>
  <c r="E32" i="2" s="1"/>
  <c r="I33" i="7" l="1"/>
  <c r="C33" i="2"/>
  <c r="I34" i="7" l="1"/>
  <c r="D33" i="2"/>
  <c r="E33" i="2" s="1"/>
  <c r="I36" i="7" l="1"/>
  <c r="C34" i="2"/>
  <c r="I37" i="7" l="1"/>
  <c r="D34" i="2"/>
  <c r="E34" i="2" s="1"/>
  <c r="I38" i="7" l="1"/>
  <c r="C35" i="2"/>
  <c r="D35" i="2" s="1"/>
  <c r="E35" i="2" s="1"/>
  <c r="I39" i="7" l="1"/>
  <c r="C36" i="2"/>
  <c r="D36" i="2" s="1"/>
  <c r="E36" i="2" s="1"/>
  <c r="C37" i="2" s="1"/>
  <c r="D37" i="2" s="1"/>
  <c r="E37" i="2" s="1"/>
  <c r="C38" i="2" s="1"/>
  <c r="D38" i="2" s="1"/>
  <c r="E38" i="2" s="1"/>
  <c r="C39" i="2" s="1"/>
  <c r="D39" i="2" s="1"/>
  <c r="E39" i="2" s="1"/>
  <c r="C40" i="2" s="1"/>
  <c r="D40" i="2" s="1"/>
  <c r="E40" i="2" s="1"/>
  <c r="C41" i="2" s="1"/>
  <c r="D41" i="2" s="1"/>
  <c r="E41" i="2" s="1"/>
  <c r="I40" i="7" l="1"/>
  <c r="C42" i="2"/>
  <c r="D42" i="2" s="1"/>
  <c r="E42" i="2" s="1"/>
  <c r="C43" i="2" s="1"/>
  <c r="D43" i="2" s="1"/>
  <c r="E43" i="2" s="1"/>
  <c r="I41" i="7" l="1"/>
  <c r="C44" i="2"/>
  <c r="D44" i="2" s="1"/>
  <c r="E44" i="2" s="1"/>
  <c r="I42" i="7" l="1"/>
  <c r="C45" i="2"/>
  <c r="G48" i="2"/>
  <c r="I43" i="7" l="1"/>
  <c r="D45" i="2"/>
  <c r="E45" i="2" s="1"/>
  <c r="C46" i="2" s="1"/>
  <c r="D46" i="2" s="1"/>
  <c r="E46" i="2" s="1"/>
  <c r="C47" i="2" s="1"/>
  <c r="D47" i="2" s="1"/>
  <c r="E47" i="2" s="1"/>
  <c r="I44" i="7" l="1"/>
  <c r="D48" i="2"/>
  <c r="C48" i="2"/>
  <c r="I45" i="7" l="1"/>
  <c r="I46" i="7" l="1"/>
  <c r="I47" i="7" l="1"/>
  <c r="I49" i="7" l="1"/>
  <c r="I50" i="7" l="1"/>
  <c r="I51" i="7" l="1"/>
  <c r="I52" i="7" l="1"/>
  <c r="I53" i="7" l="1"/>
  <c r="I54" i="7" l="1"/>
  <c r="I55" i="7" l="1"/>
  <c r="I56" i="7" l="1"/>
  <c r="I57" i="7" l="1"/>
  <c r="I58" i="7" l="1"/>
  <c r="I59" i="7" l="1"/>
  <c r="I60" i="7" l="1"/>
  <c r="I62" i="7" l="1"/>
  <c r="I63" i="7" l="1"/>
  <c r="I64" i="7" l="1"/>
  <c r="I65" i="7" l="1"/>
  <c r="I66" i="7" l="1"/>
  <c r="I67" i="7" l="1"/>
  <c r="I68" i="7" l="1"/>
  <c r="I69" i="7" l="1"/>
  <c r="I70" i="7" l="1"/>
  <c r="I71" i="7" l="1"/>
  <c r="I72" i="7" l="1"/>
  <c r="I73" i="7" l="1"/>
  <c r="I75" i="7" l="1"/>
  <c r="I76" i="7" l="1"/>
  <c r="I77" i="7" l="1"/>
  <c r="I78" i="7" l="1"/>
  <c r="I79" i="7" l="1"/>
  <c r="I80" i="7" l="1"/>
</calcChain>
</file>

<file path=xl/comments1.xml><?xml version="1.0" encoding="utf-8"?>
<comments xmlns="http://schemas.openxmlformats.org/spreadsheetml/2006/main">
  <authors>
    <author>Owner</author>
  </authors>
  <commentList>
    <comment ref="C24" authorId="0">
      <text>
        <r>
          <rPr>
            <b/>
            <sz val="8"/>
            <color indexed="81"/>
            <rFont val="Tahoma"/>
            <family val="2"/>
          </rPr>
          <t xml:space="preserve">Multiply the Loan Balance by the Monthly Interest Rate to calculate the Interest Payment. Since payments are made at the beginning of the period, no interest is calculated on the initial payment. </t>
        </r>
      </text>
    </comment>
    <comment ref="D24" authorId="0">
      <text>
        <r>
          <rPr>
            <b/>
            <sz val="8"/>
            <color indexed="81"/>
            <rFont val="Tahoma"/>
            <family val="2"/>
          </rPr>
          <t xml:space="preserve">Subtract the Interest Payment from the Total Payment Amount to arrive at the Principal Payment </t>
        </r>
      </text>
    </comment>
  </commentList>
</comments>
</file>

<file path=xl/comments2.xml><?xml version="1.0" encoding="utf-8"?>
<comments xmlns="http://schemas.openxmlformats.org/spreadsheetml/2006/main">
  <authors>
    <author>Owner</author>
  </authors>
  <commentList>
    <comment ref="D82" authorId="0">
      <text>
        <r>
          <rPr>
            <sz val="8"/>
            <color indexed="81"/>
            <rFont val="Tahoma"/>
            <family val="2"/>
          </rPr>
          <t xml:space="preserve">Only $ 169.86 of depreciation is required in the final period to fully depreciate the asset and leave a salvage value of $ 5,000. Therefore, you may need to manually enter the last period amount to balance out correctly. </t>
        </r>
      </text>
    </comment>
  </commentList>
</comments>
</file>

<file path=xl/sharedStrings.xml><?xml version="1.0" encoding="utf-8"?>
<sst xmlns="http://schemas.openxmlformats.org/spreadsheetml/2006/main" count="220" uniqueCount="160">
  <si>
    <t xml:space="preserve">Module 3 Course 1 - Financial Modeling </t>
  </si>
  <si>
    <t>Table of Contents</t>
  </si>
  <si>
    <t>Tab</t>
  </si>
  <si>
    <t>Title</t>
  </si>
  <si>
    <t>Description</t>
  </si>
  <si>
    <t>Lesson 3 - Financial Functions</t>
  </si>
  <si>
    <t>This workbook provides some examples of different financial functions you can use in Microsoft Excel</t>
  </si>
  <si>
    <t>Function</t>
  </si>
  <si>
    <t>Payment Functions</t>
  </si>
  <si>
    <t>CUMIPMT</t>
  </si>
  <si>
    <t>CUMPRINC</t>
  </si>
  <si>
    <t>IPMT</t>
  </si>
  <si>
    <t>PMT</t>
  </si>
  <si>
    <t>PPMT</t>
  </si>
  <si>
    <t>Interest Rate Functions</t>
  </si>
  <si>
    <t>EFFECT</t>
  </si>
  <si>
    <t>INTRATE</t>
  </si>
  <si>
    <t>RATE</t>
  </si>
  <si>
    <t>Yield Rate Functions</t>
  </si>
  <si>
    <t>TBILLYIELD</t>
  </si>
  <si>
    <t>YIELDMAT</t>
  </si>
  <si>
    <t>YIELD</t>
  </si>
  <si>
    <t>Depreciation Functions</t>
  </si>
  <si>
    <t>DB</t>
  </si>
  <si>
    <t>DDB</t>
  </si>
  <si>
    <t>SLN</t>
  </si>
  <si>
    <t>SYD</t>
  </si>
  <si>
    <t xml:space="preserve"> </t>
  </si>
  <si>
    <t>Listed below is a table of all financial functions covered in this lesson:</t>
  </si>
  <si>
    <t>This worksheet will illustrate some of the common payment functions used in Microsoft Excel</t>
  </si>
  <si>
    <t>This worksheet will illustrate some of the interest rate functions used in Microsoft Excel</t>
  </si>
  <si>
    <t>This worksheet will illustrate some of the yield rate functions used in Microsoft Excel</t>
  </si>
  <si>
    <t>This worksheet will illustrate some of the depreciation functions used in Microsoft Excel</t>
  </si>
  <si>
    <t>Payment functions are useful for setting a loan amortization schedule, showing you</t>
  </si>
  <si>
    <t>all of the payments you must make over the life of the loan.</t>
  </si>
  <si>
    <t>STEP 1 - Capture all of the values associated with the loan:</t>
  </si>
  <si>
    <t>Loan Amount</t>
  </si>
  <si>
    <t>Annual Interest Rate</t>
  </si>
  <si>
    <t xml:space="preserve">Payment  </t>
  </si>
  <si>
    <t xml:space="preserve">Number    </t>
  </si>
  <si>
    <t>Payment</t>
  </si>
  <si>
    <t>Amount</t>
  </si>
  <si>
    <t>Monthly Interest Rate</t>
  </si>
  <si>
    <t>Interest</t>
  </si>
  <si>
    <t>Loan</t>
  </si>
  <si>
    <t>Balance</t>
  </si>
  <si>
    <t>Principal</t>
  </si>
  <si>
    <t>Number of Years</t>
  </si>
  <si>
    <t>Payments per Month</t>
  </si>
  <si>
    <t>&lt; - - - Simple Calculation - - - &gt;</t>
  </si>
  <si>
    <t>&lt; - Using Excel Functions - &gt;</t>
  </si>
  <si>
    <t>(Present Value of Annuity of Fixed Loan Payments = Value of the Loan)</t>
  </si>
  <si>
    <t xml:space="preserve">STEP 2 - Setup a Loan Payment Schedule </t>
  </si>
  <si>
    <t>=PPMT</t>
  </si>
  <si>
    <t>=IPMT</t>
  </si>
  <si>
    <t>=PMT</t>
  </si>
  <si>
    <t>You can also use Excel to calculated the cumulative payments for interest and principal:</t>
  </si>
  <si>
    <t>Year 2 Cumulative Payments</t>
  </si>
  <si>
    <t>Functions used to setup a loan payment schedule</t>
  </si>
  <si>
    <t>=CUMIPMT</t>
  </si>
  <si>
    <t>=CUMPRINC</t>
  </si>
  <si>
    <t>Monthly Payment</t>
  </si>
  <si>
    <t>How many periods are required to amortize the loan?</t>
  </si>
  <si>
    <t>Simple Calculation</t>
  </si>
  <si>
    <t>(when payments are made at the beginning of the period, the Excel Functions will</t>
  </si>
  <si>
    <t>calculate no interest for the initial payment, all of it is calculated as principal)</t>
  </si>
  <si>
    <t>What is the effective interest rate on this loan?</t>
  </si>
  <si>
    <t>What rate are you paying on each payment?</t>
  </si>
  <si>
    <t>(beginning of period)</t>
  </si>
  <si>
    <t>=EFFECT</t>
  </si>
  <si>
    <t>=RATE</t>
  </si>
  <si>
    <t>(made beginning of the month)</t>
  </si>
  <si>
    <t>Settlement Date</t>
  </si>
  <si>
    <t>Maturity Date</t>
  </si>
  <si>
    <t>Face Value of Bond</t>
  </si>
  <si>
    <t>Redemption Value</t>
  </si>
  <si>
    <t>(date purchased)</t>
  </si>
  <si>
    <t>(date liquidated)</t>
  </si>
  <si>
    <t>You invested $ 25,000 in a bond on March 1, 2013 and you</t>
  </si>
  <si>
    <t>sold the investment for $ 28,500 on November 15, 2013</t>
  </si>
  <si>
    <t>(initial investment amount)</t>
  </si>
  <si>
    <t>(amount paid at maturity)</t>
  </si>
  <si>
    <t>What was the return on this investment?</t>
  </si>
  <si>
    <t>=INTRATE</t>
  </si>
  <si>
    <t>What amount will I get back if the return rate is 15%?</t>
  </si>
  <si>
    <t>=RECEIVED</t>
  </si>
  <si>
    <t>RECEIVED</t>
  </si>
  <si>
    <t>Functions to calculate interest rates on loans and investments</t>
  </si>
  <si>
    <t>Calculates the effective interest rate</t>
  </si>
  <si>
    <t>Calculates the discount rate on an investment</t>
  </si>
  <si>
    <t>Calculates the interest rate on a loan given the payment</t>
  </si>
  <si>
    <t>Calculates the redemption amount give a discount rate</t>
  </si>
  <si>
    <t>Calculates the principal portion of a loan payment</t>
  </si>
  <si>
    <t>Calculates the loan payments that must be made</t>
  </si>
  <si>
    <t>Calculates the interest portion of a loan payment</t>
  </si>
  <si>
    <t>Calculates the cumulative interest paid between dates</t>
  </si>
  <si>
    <t>Calculates the cumulative principal paid between dates</t>
  </si>
  <si>
    <t>EXAMPLE 2.1 - 2 Year Car Loan at 9%, $ 20,000 borrowed</t>
  </si>
  <si>
    <t>EXAMPLE 2.2 - Short Term Investment</t>
  </si>
  <si>
    <t>EXAMPLE 3.1 - Investment in Bonds</t>
  </si>
  <si>
    <t>Bond Price</t>
  </si>
  <si>
    <t>Coupon Rate</t>
  </si>
  <si>
    <t>Redempton Value</t>
  </si>
  <si>
    <t>Yield Rate</t>
  </si>
  <si>
    <t>Bond Issue Date</t>
  </si>
  <si>
    <t>Yield to Maturity</t>
  </si>
  <si>
    <t>Calculates the yield rate of a security such as a bond</t>
  </si>
  <si>
    <t>Calculates the yield rate over the entire life of the security</t>
  </si>
  <si>
    <t>Functions to calculate yield rates on fixed income securities</t>
  </si>
  <si>
    <t>=YIELD</t>
  </si>
  <si>
    <t>=YIELDMAT</t>
  </si>
  <si>
    <t>EXAMPLE 3.2 - Investment in Treasury Bills</t>
  </si>
  <si>
    <t>T Bill Settlement Date</t>
  </si>
  <si>
    <t>T Bill Maturity Date</t>
  </si>
  <si>
    <t>T Bill Price</t>
  </si>
  <si>
    <t>=PRICE</t>
  </si>
  <si>
    <t>Price</t>
  </si>
  <si>
    <t>=TBILLYIELD</t>
  </si>
  <si>
    <t>=TBILLPRICE</t>
  </si>
  <si>
    <t>Functions used to calculate depreciation amounts</t>
  </si>
  <si>
    <t>=NPER</t>
  </si>
  <si>
    <t>=PV</t>
  </si>
  <si>
    <t>EXAMPLE 1.1 - 2 Year Car Loan at 9%, $ 20,000 borrowed</t>
  </si>
  <si>
    <t>EXAMPLE 4.1 - Depreciation of Asset</t>
  </si>
  <si>
    <t>Acquisition Cost</t>
  </si>
  <si>
    <t>Salvage Value</t>
  </si>
  <si>
    <t>Useful Life in Years</t>
  </si>
  <si>
    <t>Date Acquired</t>
  </si>
  <si>
    <t>Calculate the yield rate on a short term Treasury Bill</t>
  </si>
  <si>
    <t>Useful Life in Months</t>
  </si>
  <si>
    <t>Sub Total - Year 1</t>
  </si>
  <si>
    <t>Sub Total - Year 2</t>
  </si>
  <si>
    <t>Sub Total - Year 3</t>
  </si>
  <si>
    <t>Sub Total - Year 4</t>
  </si>
  <si>
    <t>Sub Total - Year 5</t>
  </si>
  <si>
    <t>Sub Total - Year 6</t>
  </si>
  <si>
    <t>Straight</t>
  </si>
  <si>
    <t>Line</t>
  </si>
  <si>
    <t>Period</t>
  </si>
  <si>
    <t>Monthly</t>
  </si>
  <si>
    <t>Number</t>
  </si>
  <si>
    <t>Declining</t>
  </si>
  <si>
    <t>Double</t>
  </si>
  <si>
    <t>Sum of Years</t>
  </si>
  <si>
    <t>Method</t>
  </si>
  <si>
    <t xml:space="preserve"> &lt; - - - - - - - - - - - - - Depreciation Amounts - - - - - - - - - - - - - - - &gt;</t>
  </si>
  <si>
    <t>=SLN</t>
  </si>
  <si>
    <t>=DB</t>
  </si>
  <si>
    <t>=SYD</t>
  </si>
  <si>
    <t>=DDB</t>
  </si>
  <si>
    <t>Total Depreciation</t>
  </si>
  <si>
    <t xml:space="preserve"> &lt; - - - - - - - - - - - - - - Book Value of Asset - - - - - - - - - - - - - - - - &gt;</t>
  </si>
  <si>
    <t>Calculates depreciation using Declining Balance</t>
  </si>
  <si>
    <t>Calculates depreciation using Double Declining Balance</t>
  </si>
  <si>
    <t>Calculates deprecation using Straight Line Method</t>
  </si>
  <si>
    <t>Calculates depreciation using Sum of Years Method</t>
  </si>
  <si>
    <t>Note: When using the =DDB function, you may need to adjust the factor</t>
  </si>
  <si>
    <t>that appears at the end so that your depreciation amounts work out</t>
  </si>
  <si>
    <t>correctly for all periods in your depreciation schedule. In our example</t>
  </si>
  <si>
    <t>below we ended up using 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</si>
</sst>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0.0%"/>
    <numFmt numFmtId="165" formatCode="0.000%"/>
    <numFmt numFmtId="166" formatCode="_(&quot;$&quot;* #,##0_);_(&quot;$&quot;* \(#,##0\);_(&quot;$&quot;* &quot;-&quot;??_);_(@_)"/>
    <numFmt numFmtId="167" formatCode="0.000"/>
  </numFmts>
  <fonts count="13" x14ac:knownFonts="1">
    <font>
      <sz val="11"/>
      <color theme="1"/>
      <name val="Calibri"/>
      <family val="2"/>
      <scheme val="minor"/>
    </font>
    <font>
      <sz val="14"/>
      <color theme="1"/>
      <name val="Calibri"/>
      <family val="2"/>
      <scheme val="minor"/>
    </font>
    <font>
      <i/>
      <sz val="11"/>
      <color theme="1"/>
      <name val="Calibri"/>
      <family val="2"/>
      <scheme val="minor"/>
    </font>
    <font>
      <u/>
      <sz val="11"/>
      <color theme="1"/>
      <name val="Calibri"/>
      <family val="2"/>
      <scheme val="minor"/>
    </font>
    <font>
      <sz val="11"/>
      <color rgb="FF000000"/>
      <name val="Arial"/>
      <family val="2"/>
    </font>
    <font>
      <b/>
      <sz val="11"/>
      <color rgb="FF000000"/>
      <name val="Arial"/>
      <family val="2"/>
    </font>
    <font>
      <b/>
      <sz val="11"/>
      <color rgb="FFFFFFFF"/>
      <name val="Arial"/>
      <family val="2"/>
    </font>
    <font>
      <sz val="11"/>
      <color theme="1"/>
      <name val="Calibri"/>
      <family val="2"/>
      <scheme val="minor"/>
    </font>
    <font>
      <b/>
      <sz val="11"/>
      <color theme="1"/>
      <name val="Calibri"/>
      <family val="2"/>
      <scheme val="minor"/>
    </font>
    <font>
      <b/>
      <sz val="8"/>
      <color indexed="81"/>
      <name val="Tahoma"/>
      <family val="2"/>
    </font>
    <font>
      <i/>
      <sz val="11"/>
      <color theme="5" tint="-0.249977111117893"/>
      <name val="Calibri"/>
      <family val="2"/>
      <scheme val="minor"/>
    </font>
    <font>
      <u/>
      <sz val="11"/>
      <color theme="10"/>
      <name val="Calibri"/>
      <family val="2"/>
      <scheme val="minor"/>
    </font>
    <font>
      <sz val="8"/>
      <color indexed="81"/>
      <name val="Tahoma"/>
      <family val="2"/>
    </font>
  </fonts>
  <fills count="7">
    <fill>
      <patternFill patternType="none"/>
    </fill>
    <fill>
      <patternFill patternType="gray125"/>
    </fill>
    <fill>
      <patternFill patternType="solid">
        <fgColor theme="0" tint="-0.24994659260841701"/>
        <bgColor indexed="64"/>
      </patternFill>
    </fill>
    <fill>
      <patternFill patternType="solid">
        <fgColor rgb="FF9E3A38"/>
        <bgColor indexed="64"/>
      </patternFill>
    </fill>
    <fill>
      <patternFill patternType="solid">
        <fgColor rgb="FFCCCCCC"/>
        <bgColor indexed="64"/>
      </patternFill>
    </fill>
    <fill>
      <patternFill patternType="solid">
        <fgColor rgb="FFE6E6E6"/>
        <bgColor indexed="64"/>
      </patternFill>
    </fill>
    <fill>
      <patternFill patternType="solid">
        <fgColor theme="4" tint="0.79998168889431442"/>
        <bgColor indexed="64"/>
      </patternFill>
    </fill>
  </fills>
  <borders count="7">
    <border>
      <left/>
      <right/>
      <top/>
      <bottom/>
      <diagonal/>
    </border>
    <border>
      <left/>
      <right/>
      <top/>
      <bottom style="thin">
        <color indexed="64"/>
      </bottom>
      <diagonal/>
    </border>
    <border>
      <left/>
      <right/>
      <top/>
      <bottom style="thick">
        <color rgb="FFFFFFFF"/>
      </bottom>
      <diagonal/>
    </border>
    <border>
      <left/>
      <right/>
      <top style="thick">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11" fillId="0" borderId="0" applyNumberFormat="0" applyFill="0" applyBorder="0" applyAlignment="0" applyProtection="0"/>
  </cellStyleXfs>
  <cellXfs count="49">
    <xf numFmtId="0" fontId="0" fillId="0" borderId="0" xfId="0"/>
    <xf numFmtId="0" fontId="1" fillId="0" borderId="0" xfId="0" applyFont="1"/>
    <xf numFmtId="0" fontId="0" fillId="2" borderId="0" xfId="0" applyFill="1"/>
    <xf numFmtId="0" fontId="2" fillId="0" borderId="0" xfId="0" applyFont="1"/>
    <xf numFmtId="0" fontId="3" fillId="0" borderId="0" xfId="0" applyFont="1" applyAlignment="1">
      <alignment horizontal="center"/>
    </xf>
    <xf numFmtId="0" fontId="0" fillId="0" borderId="1" xfId="0" applyBorder="1" applyAlignment="1">
      <alignment horizontal="center"/>
    </xf>
    <xf numFmtId="0" fontId="6" fillId="3" borderId="2" xfId="0" applyFont="1" applyFill="1" applyBorder="1" applyAlignment="1">
      <alignment horizontal="center" vertical="center" wrapText="1"/>
    </xf>
    <xf numFmtId="0" fontId="4" fillId="5" borderId="0" xfId="0" applyFont="1" applyFill="1" applyAlignment="1">
      <alignment vertical="center" wrapText="1"/>
    </xf>
    <xf numFmtId="0" fontId="4" fillId="4" borderId="0" xfId="0" applyFont="1" applyFill="1" applyAlignment="1">
      <alignment vertical="center" wrapText="1"/>
    </xf>
    <xf numFmtId="0" fontId="0" fillId="0" borderId="0" xfId="0" applyAlignment="1">
      <alignment horizontal="center"/>
    </xf>
    <xf numFmtId="0" fontId="0" fillId="6" borderId="4" xfId="0" applyFill="1" applyBorder="1"/>
    <xf numFmtId="0" fontId="0" fillId="6" borderId="5" xfId="0" applyFill="1" applyBorder="1"/>
    <xf numFmtId="0" fontId="0" fillId="6" borderId="6" xfId="0" applyFill="1" applyBorder="1"/>
    <xf numFmtId="44" fontId="0" fillId="6" borderId="4" xfId="1" applyFont="1" applyFill="1" applyBorder="1"/>
    <xf numFmtId="164" fontId="0" fillId="6" borderId="4" xfId="2" applyNumberFormat="1" applyFont="1" applyFill="1" applyBorder="1"/>
    <xf numFmtId="0" fontId="8" fillId="0" borderId="0" xfId="0" applyFont="1"/>
    <xf numFmtId="0" fontId="0" fillId="0" borderId="0" xfId="0" applyAlignment="1">
      <alignment vertical="center"/>
    </xf>
    <xf numFmtId="44" fontId="0" fillId="0" borderId="0" xfId="1" applyFont="1"/>
    <xf numFmtId="8" fontId="0" fillId="0" borderId="0" xfId="0" applyNumberFormat="1"/>
    <xf numFmtId="44" fontId="0" fillId="0" borderId="0" xfId="0" applyNumberFormat="1"/>
    <xf numFmtId="165" fontId="0" fillId="6" borderId="4" xfId="2" applyNumberFormat="1" applyFont="1" applyFill="1" applyBorder="1"/>
    <xf numFmtId="0" fontId="10" fillId="0" borderId="0" xfId="0" quotePrefix="1" applyFont="1"/>
    <xf numFmtId="0" fontId="3" fillId="0" borderId="0" xfId="0" applyFont="1" applyAlignment="1">
      <alignment vertical="center"/>
    </xf>
    <xf numFmtId="0" fontId="11" fillId="0" borderId="0" xfId="3"/>
    <xf numFmtId="8" fontId="0" fillId="6" borderId="4" xfId="0" applyNumberFormat="1" applyFill="1" applyBorder="1"/>
    <xf numFmtId="2" fontId="0" fillId="0" borderId="4" xfId="0" applyNumberFormat="1" applyBorder="1"/>
    <xf numFmtId="8" fontId="0" fillId="0" borderId="0" xfId="1" applyNumberFormat="1" applyFont="1"/>
    <xf numFmtId="10" fontId="0" fillId="0" borderId="4" xfId="2" applyNumberFormat="1" applyFont="1" applyBorder="1"/>
    <xf numFmtId="165" fontId="0" fillId="0" borderId="4" xfId="0" applyNumberFormat="1" applyBorder="1"/>
    <xf numFmtId="44" fontId="0" fillId="0" borderId="1" xfId="0" applyNumberFormat="1" applyBorder="1"/>
    <xf numFmtId="8" fontId="0" fillId="0" borderId="1" xfId="0" applyNumberFormat="1" applyBorder="1"/>
    <xf numFmtId="44" fontId="0" fillId="0" borderId="1" xfId="1" applyFont="1" applyBorder="1"/>
    <xf numFmtId="10" fontId="0" fillId="0" borderId="0" xfId="2" applyNumberFormat="1" applyFont="1"/>
    <xf numFmtId="14" fontId="0" fillId="0" borderId="0" xfId="0" applyNumberFormat="1"/>
    <xf numFmtId="166" fontId="0" fillId="0" borderId="0" xfId="1" applyNumberFormat="1" applyFont="1"/>
    <xf numFmtId="166" fontId="0" fillId="0" borderId="4" xfId="1" applyNumberFormat="1" applyFont="1" applyBorder="1"/>
    <xf numFmtId="165" fontId="0" fillId="0" borderId="0" xfId="2" applyNumberFormat="1" applyFont="1"/>
    <xf numFmtId="2" fontId="0" fillId="0" borderId="0" xfId="0" applyNumberFormat="1"/>
    <xf numFmtId="165" fontId="0" fillId="0" borderId="4" xfId="2" applyNumberFormat="1" applyFont="1" applyBorder="1"/>
    <xf numFmtId="0" fontId="0" fillId="0" borderId="4" xfId="0" applyBorder="1"/>
    <xf numFmtId="0" fontId="0" fillId="0" borderId="0" xfId="0" applyBorder="1"/>
    <xf numFmtId="167" fontId="0" fillId="0" borderId="0" xfId="0" applyNumberFormat="1"/>
    <xf numFmtId="167" fontId="0" fillId="0" borderId="4" xfId="0" applyNumberFormat="1" applyBorder="1"/>
    <xf numFmtId="17" fontId="0" fillId="0" borderId="0" xfId="0" applyNumberFormat="1"/>
    <xf numFmtId="17" fontId="8" fillId="0" borderId="0" xfId="0" applyNumberFormat="1" applyFont="1"/>
    <xf numFmtId="8" fontId="8" fillId="0" borderId="0" xfId="0" applyNumberFormat="1" applyFont="1"/>
    <xf numFmtId="0" fontId="10" fillId="0" borderId="0" xfId="0" quotePrefix="1" applyFont="1" applyAlignment="1">
      <alignment horizontal="center"/>
    </xf>
    <xf numFmtId="0" fontId="5" fillId="4" borderId="3" xfId="0" applyFont="1" applyFill="1" applyBorder="1" applyAlignment="1">
      <alignment vertical="center" wrapText="1"/>
    </xf>
    <xf numFmtId="0" fontId="5" fillId="5" borderId="0" xfId="0" applyFont="1" applyFill="1" applyAlignment="1">
      <alignment horizontal="left" vertic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18</xdr:row>
      <xdr:rowOff>38100</xdr:rowOff>
    </xdr:from>
    <xdr:to>
      <xdr:col>6</xdr:col>
      <xdr:colOff>885827</xdr:colOff>
      <xdr:row>23</xdr:row>
      <xdr:rowOff>19050</xdr:rowOff>
    </xdr:to>
    <xdr:cxnSp macro="">
      <xdr:nvCxnSpPr>
        <xdr:cNvPr id="5" name="Straight Arrow Connector 4"/>
        <xdr:cNvCxnSpPr/>
      </xdr:nvCxnSpPr>
      <xdr:spPr>
        <a:xfrm flipH="1">
          <a:off x="5114925" y="3619500"/>
          <a:ext cx="885827" cy="98107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866775</xdr:colOff>
      <xdr:row>19</xdr:row>
      <xdr:rowOff>19050</xdr:rowOff>
    </xdr:from>
    <xdr:to>
      <xdr:col>7</xdr:col>
      <xdr:colOff>847726</xdr:colOff>
      <xdr:row>23</xdr:row>
      <xdr:rowOff>19050</xdr:rowOff>
    </xdr:to>
    <xdr:cxnSp macro="">
      <xdr:nvCxnSpPr>
        <xdr:cNvPr id="7" name="Straight Arrow Connector 6"/>
        <xdr:cNvCxnSpPr/>
      </xdr:nvCxnSpPr>
      <xdr:spPr>
        <a:xfrm flipH="1">
          <a:off x="5981700" y="3800475"/>
          <a:ext cx="876301" cy="8001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847725</xdr:colOff>
      <xdr:row>53</xdr:row>
      <xdr:rowOff>171450</xdr:rowOff>
    </xdr:from>
    <xdr:to>
      <xdr:col>5</xdr:col>
      <xdr:colOff>304800</xdr:colOff>
      <xdr:row>55</xdr:row>
      <xdr:rowOff>57150</xdr:rowOff>
    </xdr:to>
    <xdr:cxnSp macro="">
      <xdr:nvCxnSpPr>
        <xdr:cNvPr id="4" name="Straight Arrow Connector 3"/>
        <xdr:cNvCxnSpPr/>
      </xdr:nvCxnSpPr>
      <xdr:spPr>
        <a:xfrm flipV="1">
          <a:off x="4181475" y="10753725"/>
          <a:ext cx="419100" cy="26670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714375</xdr:colOff>
      <xdr:row>54</xdr:row>
      <xdr:rowOff>9525</xdr:rowOff>
    </xdr:from>
    <xdr:to>
      <xdr:col>7</xdr:col>
      <xdr:colOff>9525</xdr:colOff>
      <xdr:row>55</xdr:row>
      <xdr:rowOff>19050</xdr:rowOff>
    </xdr:to>
    <xdr:cxnSp macro="">
      <xdr:nvCxnSpPr>
        <xdr:cNvPr id="8" name="Straight Arrow Connector 7"/>
        <xdr:cNvCxnSpPr/>
      </xdr:nvCxnSpPr>
      <xdr:spPr>
        <a:xfrm flipH="1" flipV="1">
          <a:off x="5829300" y="10782300"/>
          <a:ext cx="190500" cy="2000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838201</xdr:colOff>
      <xdr:row>16</xdr:row>
      <xdr:rowOff>114300</xdr:rowOff>
    </xdr:from>
    <xdr:to>
      <xdr:col>3</xdr:col>
      <xdr:colOff>962025</xdr:colOff>
      <xdr:row>16</xdr:row>
      <xdr:rowOff>123825</xdr:rowOff>
    </xdr:to>
    <xdr:cxnSp macro="">
      <xdr:nvCxnSpPr>
        <xdr:cNvPr id="10" name="Straight Arrow Connector 9"/>
        <xdr:cNvCxnSpPr/>
      </xdr:nvCxnSpPr>
      <xdr:spPr>
        <a:xfrm flipH="1" flipV="1">
          <a:off x="2324101" y="3295650"/>
          <a:ext cx="971549"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66675</xdr:colOff>
      <xdr:row>57</xdr:row>
      <xdr:rowOff>104775</xdr:rowOff>
    </xdr:from>
    <xdr:to>
      <xdr:col>5</xdr:col>
      <xdr:colOff>704850</xdr:colOff>
      <xdr:row>57</xdr:row>
      <xdr:rowOff>104775</xdr:rowOff>
    </xdr:to>
    <xdr:cxnSp macro="">
      <xdr:nvCxnSpPr>
        <xdr:cNvPr id="3" name="Straight Arrow Connector 2"/>
        <xdr:cNvCxnSpPr/>
      </xdr:nvCxnSpPr>
      <xdr:spPr>
        <a:xfrm flipH="1">
          <a:off x="4362450" y="11258550"/>
          <a:ext cx="638175" cy="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866775</xdr:colOff>
      <xdr:row>21</xdr:row>
      <xdr:rowOff>0</xdr:rowOff>
    </xdr:from>
    <xdr:to>
      <xdr:col>8</xdr:col>
      <xdr:colOff>581025</xdr:colOff>
      <xdr:row>22</xdr:row>
      <xdr:rowOff>9525</xdr:rowOff>
    </xdr:to>
    <xdr:cxnSp macro="">
      <xdr:nvCxnSpPr>
        <xdr:cNvPr id="11" name="Straight Arrow Connector 10"/>
        <xdr:cNvCxnSpPr/>
      </xdr:nvCxnSpPr>
      <xdr:spPr>
        <a:xfrm flipH="1">
          <a:off x="6877050" y="4181475"/>
          <a:ext cx="590550" cy="209550"/>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28576</xdr:colOff>
      <xdr:row>12</xdr:row>
      <xdr:rowOff>161925</xdr:rowOff>
    </xdr:from>
    <xdr:to>
      <xdr:col>6</xdr:col>
      <xdr:colOff>0</xdr:colOff>
      <xdr:row>13</xdr:row>
      <xdr:rowOff>104775</xdr:rowOff>
    </xdr:to>
    <xdr:cxnSp macro="">
      <xdr:nvCxnSpPr>
        <xdr:cNvPr id="4" name="Straight Arrow Connector 3"/>
        <xdr:cNvCxnSpPr/>
      </xdr:nvCxnSpPr>
      <xdr:spPr>
        <a:xfrm flipH="1">
          <a:off x="3686176" y="2743200"/>
          <a:ext cx="581024" cy="14287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57150</xdr:colOff>
      <xdr:row>15</xdr:row>
      <xdr:rowOff>104775</xdr:rowOff>
    </xdr:from>
    <xdr:to>
      <xdr:col>5</xdr:col>
      <xdr:colOff>542926</xdr:colOff>
      <xdr:row>15</xdr:row>
      <xdr:rowOff>114300</xdr:rowOff>
    </xdr:to>
    <xdr:cxnSp macro="">
      <xdr:nvCxnSpPr>
        <xdr:cNvPr id="6" name="Straight Arrow Connector 5"/>
        <xdr:cNvCxnSpPr/>
      </xdr:nvCxnSpPr>
      <xdr:spPr>
        <a:xfrm flipH="1" flipV="1">
          <a:off x="3714750" y="3286125"/>
          <a:ext cx="485776"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57150</xdr:colOff>
      <xdr:row>27</xdr:row>
      <xdr:rowOff>104775</xdr:rowOff>
    </xdr:from>
    <xdr:to>
      <xdr:col>5</xdr:col>
      <xdr:colOff>542926</xdr:colOff>
      <xdr:row>27</xdr:row>
      <xdr:rowOff>114300</xdr:rowOff>
    </xdr:to>
    <xdr:cxnSp macro="">
      <xdr:nvCxnSpPr>
        <xdr:cNvPr id="5" name="Straight Arrow Connector 4"/>
        <xdr:cNvCxnSpPr/>
      </xdr:nvCxnSpPr>
      <xdr:spPr>
        <a:xfrm flipH="1" flipV="1">
          <a:off x="3714750" y="5486400"/>
          <a:ext cx="485776"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47625</xdr:colOff>
      <xdr:row>29</xdr:row>
      <xdr:rowOff>114300</xdr:rowOff>
    </xdr:from>
    <xdr:to>
      <xdr:col>5</xdr:col>
      <xdr:colOff>533401</xdr:colOff>
      <xdr:row>29</xdr:row>
      <xdr:rowOff>123825</xdr:rowOff>
    </xdr:to>
    <xdr:cxnSp macro="">
      <xdr:nvCxnSpPr>
        <xdr:cNvPr id="7" name="Straight Arrow Connector 6"/>
        <xdr:cNvCxnSpPr/>
      </xdr:nvCxnSpPr>
      <xdr:spPr>
        <a:xfrm flipH="1" flipV="1">
          <a:off x="4105275" y="5895975"/>
          <a:ext cx="485776"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14</xdr:row>
      <xdr:rowOff>104775</xdr:rowOff>
    </xdr:from>
    <xdr:to>
      <xdr:col>3</xdr:col>
      <xdr:colOff>542925</xdr:colOff>
      <xdr:row>14</xdr:row>
      <xdr:rowOff>114300</xdr:rowOff>
    </xdr:to>
    <xdr:cxnSp macro="">
      <xdr:nvCxnSpPr>
        <xdr:cNvPr id="3" name="Straight Arrow Connector 2"/>
        <xdr:cNvCxnSpPr/>
      </xdr:nvCxnSpPr>
      <xdr:spPr>
        <a:xfrm flipH="1" flipV="1">
          <a:off x="2305050" y="2886075"/>
          <a:ext cx="504825"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38100</xdr:colOff>
      <xdr:row>15</xdr:row>
      <xdr:rowOff>114300</xdr:rowOff>
    </xdr:from>
    <xdr:to>
      <xdr:col>3</xdr:col>
      <xdr:colOff>542925</xdr:colOff>
      <xdr:row>15</xdr:row>
      <xdr:rowOff>123825</xdr:rowOff>
    </xdr:to>
    <xdr:cxnSp macro="">
      <xdr:nvCxnSpPr>
        <xdr:cNvPr id="4" name="Straight Arrow Connector 3"/>
        <xdr:cNvCxnSpPr/>
      </xdr:nvCxnSpPr>
      <xdr:spPr>
        <a:xfrm flipH="1" flipV="1">
          <a:off x="2305050" y="3095625"/>
          <a:ext cx="504825"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28575</xdr:colOff>
      <xdr:row>16</xdr:row>
      <xdr:rowOff>104775</xdr:rowOff>
    </xdr:from>
    <xdr:to>
      <xdr:col>3</xdr:col>
      <xdr:colOff>533400</xdr:colOff>
      <xdr:row>16</xdr:row>
      <xdr:rowOff>114300</xdr:rowOff>
    </xdr:to>
    <xdr:cxnSp macro="">
      <xdr:nvCxnSpPr>
        <xdr:cNvPr id="5" name="Straight Arrow Connector 4"/>
        <xdr:cNvCxnSpPr/>
      </xdr:nvCxnSpPr>
      <xdr:spPr>
        <a:xfrm flipH="1" flipV="1">
          <a:off x="2381250" y="3286125"/>
          <a:ext cx="504825"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66675</xdr:colOff>
      <xdr:row>24</xdr:row>
      <xdr:rowOff>123825</xdr:rowOff>
    </xdr:from>
    <xdr:to>
      <xdr:col>3</xdr:col>
      <xdr:colOff>571500</xdr:colOff>
      <xdr:row>24</xdr:row>
      <xdr:rowOff>133350</xdr:rowOff>
    </xdr:to>
    <xdr:cxnSp macro="">
      <xdr:nvCxnSpPr>
        <xdr:cNvPr id="7" name="Straight Arrow Connector 6"/>
        <xdr:cNvCxnSpPr/>
      </xdr:nvCxnSpPr>
      <xdr:spPr>
        <a:xfrm flipH="1" flipV="1">
          <a:off x="2419350" y="4905375"/>
          <a:ext cx="504825"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38100</xdr:colOff>
      <xdr:row>25</xdr:row>
      <xdr:rowOff>95250</xdr:rowOff>
    </xdr:from>
    <xdr:to>
      <xdr:col>3</xdr:col>
      <xdr:colOff>542925</xdr:colOff>
      <xdr:row>25</xdr:row>
      <xdr:rowOff>104775</xdr:rowOff>
    </xdr:to>
    <xdr:cxnSp macro="">
      <xdr:nvCxnSpPr>
        <xdr:cNvPr id="8" name="Straight Arrow Connector 7"/>
        <xdr:cNvCxnSpPr/>
      </xdr:nvCxnSpPr>
      <xdr:spPr>
        <a:xfrm flipH="1" flipV="1">
          <a:off x="2390775" y="5076825"/>
          <a:ext cx="504825" cy="952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504825</xdr:colOff>
      <xdr:row>11</xdr:row>
      <xdr:rowOff>66675</xdr:rowOff>
    </xdr:from>
    <xdr:to>
      <xdr:col>4</xdr:col>
      <xdr:colOff>504825</xdr:colOff>
      <xdr:row>14</xdr:row>
      <xdr:rowOff>19050</xdr:rowOff>
    </xdr:to>
    <xdr:cxnSp macro="">
      <xdr:nvCxnSpPr>
        <xdr:cNvPr id="3" name="Straight Arrow Connector 2"/>
        <xdr:cNvCxnSpPr/>
      </xdr:nvCxnSpPr>
      <xdr:spPr>
        <a:xfrm>
          <a:off x="3781425" y="2247900"/>
          <a:ext cx="0" cy="552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heetViews>
  <sheetFormatPr defaultRowHeight="15" x14ac:dyDescent="0.25"/>
  <cols>
    <col min="2" max="2" width="25.85546875" customWidth="1"/>
    <col min="3" max="3" width="57.7109375" customWidth="1"/>
    <col min="6" max="6" width="10.85546875" customWidth="1"/>
  </cols>
  <sheetData>
    <row r="1" spans="1:4" ht="18.75" x14ac:dyDescent="0.3">
      <c r="C1" s="1" t="s">
        <v>0</v>
      </c>
    </row>
    <row r="2" spans="1:4" ht="18.75" x14ac:dyDescent="0.3">
      <c r="C2" s="1" t="s">
        <v>5</v>
      </c>
    </row>
    <row r="3" spans="1:4" ht="18.75" x14ac:dyDescent="0.3">
      <c r="C3" s="1" t="s">
        <v>1</v>
      </c>
    </row>
    <row r="4" spans="1:4" ht="6" customHeight="1" x14ac:dyDescent="0.25">
      <c r="A4" s="2"/>
      <c r="B4" s="2"/>
      <c r="C4" s="2"/>
      <c r="D4" s="2"/>
    </row>
    <row r="5" spans="1:4" x14ac:dyDescent="0.25">
      <c r="A5" s="3" t="s">
        <v>6</v>
      </c>
    </row>
    <row r="7" spans="1:4" x14ac:dyDescent="0.25">
      <c r="A7" s="4" t="s">
        <v>2</v>
      </c>
      <c r="B7" s="5" t="s">
        <v>3</v>
      </c>
      <c r="C7" s="5" t="s">
        <v>4</v>
      </c>
    </row>
    <row r="9" spans="1:4" x14ac:dyDescent="0.25">
      <c r="A9" s="9">
        <v>1</v>
      </c>
      <c r="B9" s="23" t="s">
        <v>8</v>
      </c>
      <c r="C9" t="s">
        <v>58</v>
      </c>
    </row>
    <row r="10" spans="1:4" x14ac:dyDescent="0.25">
      <c r="A10" s="9">
        <v>2</v>
      </c>
      <c r="B10" s="23" t="s">
        <v>14</v>
      </c>
      <c r="C10" t="s">
        <v>87</v>
      </c>
    </row>
    <row r="11" spans="1:4" x14ac:dyDescent="0.25">
      <c r="A11" s="9">
        <v>3</v>
      </c>
      <c r="B11" s="23" t="s">
        <v>18</v>
      </c>
      <c r="C11" t="s">
        <v>108</v>
      </c>
    </row>
    <row r="12" spans="1:4" x14ac:dyDescent="0.25">
      <c r="A12" s="9">
        <v>4</v>
      </c>
      <c r="B12" s="23" t="s">
        <v>22</v>
      </c>
      <c r="C12" t="s">
        <v>119</v>
      </c>
      <c r="D12" t="s">
        <v>27</v>
      </c>
    </row>
    <row r="14" spans="1:4" x14ac:dyDescent="0.25">
      <c r="B14" s="3" t="s">
        <v>28</v>
      </c>
    </row>
    <row r="16" spans="1:4" ht="15.75" thickBot="1" x14ac:dyDescent="0.3">
      <c r="B16" s="6" t="s">
        <v>7</v>
      </c>
      <c r="C16" s="6" t="s">
        <v>4</v>
      </c>
    </row>
    <row r="17" spans="2:3" ht="15.75" thickTop="1" x14ac:dyDescent="0.25">
      <c r="B17" s="47" t="s">
        <v>8</v>
      </c>
      <c r="C17" s="47"/>
    </row>
    <row r="18" spans="2:3" x14ac:dyDescent="0.25">
      <c r="B18" s="7" t="s">
        <v>9</v>
      </c>
      <c r="C18" s="7" t="s">
        <v>95</v>
      </c>
    </row>
    <row r="19" spans="2:3" x14ac:dyDescent="0.25">
      <c r="B19" s="8" t="s">
        <v>10</v>
      </c>
      <c r="C19" s="8" t="s">
        <v>96</v>
      </c>
    </row>
    <row r="20" spans="2:3" x14ac:dyDescent="0.25">
      <c r="B20" s="7" t="s">
        <v>11</v>
      </c>
      <c r="C20" s="7" t="s">
        <v>94</v>
      </c>
    </row>
    <row r="21" spans="2:3" x14ac:dyDescent="0.25">
      <c r="B21" s="8" t="s">
        <v>12</v>
      </c>
      <c r="C21" s="8" t="s">
        <v>93</v>
      </c>
    </row>
    <row r="22" spans="2:3" ht="15.75" thickBot="1" x14ac:dyDescent="0.3">
      <c r="B22" s="7" t="s">
        <v>13</v>
      </c>
      <c r="C22" s="7" t="s">
        <v>92</v>
      </c>
    </row>
    <row r="23" spans="2:3" ht="15.75" thickTop="1" x14ac:dyDescent="0.25">
      <c r="B23" s="47" t="s">
        <v>14</v>
      </c>
      <c r="C23" s="47"/>
    </row>
    <row r="24" spans="2:3" x14ac:dyDescent="0.25">
      <c r="B24" s="7" t="s">
        <v>15</v>
      </c>
      <c r="C24" s="7" t="s">
        <v>88</v>
      </c>
    </row>
    <row r="25" spans="2:3" x14ac:dyDescent="0.25">
      <c r="B25" s="8" t="s">
        <v>16</v>
      </c>
      <c r="C25" s="8" t="s">
        <v>89</v>
      </c>
    </row>
    <row r="26" spans="2:3" x14ac:dyDescent="0.25">
      <c r="B26" s="7" t="s">
        <v>17</v>
      </c>
      <c r="C26" s="7" t="s">
        <v>90</v>
      </c>
    </row>
    <row r="27" spans="2:3" x14ac:dyDescent="0.25">
      <c r="B27" s="8" t="s">
        <v>86</v>
      </c>
      <c r="C27" s="8" t="s">
        <v>91</v>
      </c>
    </row>
    <row r="28" spans="2:3" x14ac:dyDescent="0.25">
      <c r="B28" s="48" t="s">
        <v>18</v>
      </c>
      <c r="C28" s="48"/>
    </row>
    <row r="29" spans="2:3" x14ac:dyDescent="0.25">
      <c r="B29" s="8" t="s">
        <v>19</v>
      </c>
      <c r="C29" s="8" t="s">
        <v>128</v>
      </c>
    </row>
    <row r="30" spans="2:3" x14ac:dyDescent="0.25">
      <c r="B30" s="7" t="s">
        <v>21</v>
      </c>
      <c r="C30" s="7" t="s">
        <v>106</v>
      </c>
    </row>
    <row r="31" spans="2:3" x14ac:dyDescent="0.25">
      <c r="B31" s="8" t="s">
        <v>20</v>
      </c>
      <c r="C31" s="8" t="s">
        <v>107</v>
      </c>
    </row>
    <row r="32" spans="2:3" x14ac:dyDescent="0.25">
      <c r="B32" s="48" t="s">
        <v>22</v>
      </c>
      <c r="C32" s="48"/>
    </row>
    <row r="33" spans="2:3" x14ac:dyDescent="0.25">
      <c r="B33" s="8" t="s">
        <v>23</v>
      </c>
      <c r="C33" s="8" t="s">
        <v>152</v>
      </c>
    </row>
    <row r="34" spans="2:3" x14ac:dyDescent="0.25">
      <c r="B34" s="7" t="s">
        <v>24</v>
      </c>
      <c r="C34" s="7" t="s">
        <v>153</v>
      </c>
    </row>
    <row r="35" spans="2:3" x14ac:dyDescent="0.25">
      <c r="B35" s="8" t="s">
        <v>25</v>
      </c>
      <c r="C35" s="8" t="s">
        <v>154</v>
      </c>
    </row>
    <row r="36" spans="2:3" x14ac:dyDescent="0.25">
      <c r="B36" s="7" t="s">
        <v>26</v>
      </c>
      <c r="C36" s="7" t="s">
        <v>155</v>
      </c>
    </row>
  </sheetData>
  <mergeCells count="4">
    <mergeCell ref="B17:C17"/>
    <mergeCell ref="B23:C23"/>
    <mergeCell ref="B28:C28"/>
    <mergeCell ref="B32:C32"/>
  </mergeCells>
  <hyperlinks>
    <hyperlink ref="B9" location="'1 - Payment Functions'!A1" display="Payment Functions"/>
    <hyperlink ref="B10" location="'2 - Interest Rate Functions'!A1" display="Interest Rate Functions"/>
    <hyperlink ref="B11" location="'3 - Yield Rate Functions'!A1" display="Yield Rate Functions"/>
    <hyperlink ref="B12" location="'4 - Depreciation Functions'!A1" display="Depreciation Function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8"/>
  <sheetViews>
    <sheetView topLeftCell="A49" workbookViewId="0">
      <selection activeCell="F16" sqref="F16"/>
    </sheetView>
  </sheetViews>
  <sheetFormatPr defaultRowHeight="15" x14ac:dyDescent="0.25"/>
  <cols>
    <col min="1" max="1" width="9.85546875" customWidth="1"/>
    <col min="2" max="2" width="12.42578125" customWidth="1"/>
    <col min="3" max="3" width="12.7109375" customWidth="1"/>
    <col min="4" max="4" width="15" customWidth="1"/>
    <col min="5" max="5" width="14.42578125" customWidth="1"/>
    <col min="6" max="6" width="12.28515625" customWidth="1"/>
    <col min="7" max="7" width="13.42578125" customWidth="1"/>
    <col min="8" max="8" width="13.140625" customWidth="1"/>
  </cols>
  <sheetData>
    <row r="1" spans="1:7" ht="18.75" x14ac:dyDescent="0.3">
      <c r="C1" s="1" t="s">
        <v>0</v>
      </c>
    </row>
    <row r="2" spans="1:7" ht="18.75" x14ac:dyDescent="0.3">
      <c r="C2" s="1" t="s">
        <v>5</v>
      </c>
    </row>
    <row r="3" spans="1:7" ht="18" customHeight="1" x14ac:dyDescent="0.3">
      <c r="C3" s="1" t="s">
        <v>8</v>
      </c>
    </row>
    <row r="4" spans="1:7" ht="6" customHeight="1" x14ac:dyDescent="0.25">
      <c r="A4" s="2"/>
      <c r="B4" s="2"/>
      <c r="C4" s="2"/>
      <c r="D4" s="2"/>
      <c r="E4" s="2"/>
      <c r="F4" s="2"/>
      <c r="G4" s="2"/>
    </row>
    <row r="5" spans="1:7" ht="15.95" customHeight="1" x14ac:dyDescent="0.25">
      <c r="A5" s="3" t="s">
        <v>29</v>
      </c>
    </row>
    <row r="6" spans="1:7" ht="15.95" customHeight="1" x14ac:dyDescent="0.25">
      <c r="A6" s="3" t="s">
        <v>33</v>
      </c>
    </row>
    <row r="7" spans="1:7" ht="15.95" customHeight="1" x14ac:dyDescent="0.25">
      <c r="A7" s="3" t="s">
        <v>34</v>
      </c>
    </row>
    <row r="8" spans="1:7" ht="15.95" customHeight="1" x14ac:dyDescent="0.25"/>
    <row r="9" spans="1:7" ht="15.95" customHeight="1" x14ac:dyDescent="0.25"/>
    <row r="10" spans="1:7" ht="15.95" customHeight="1" x14ac:dyDescent="0.25">
      <c r="A10" s="15" t="s">
        <v>35</v>
      </c>
    </row>
    <row r="11" spans="1:7" ht="15.95" customHeight="1" x14ac:dyDescent="0.25">
      <c r="A11" s="15" t="s">
        <v>122</v>
      </c>
    </row>
    <row r="12" spans="1:7" ht="15.95" customHeight="1" x14ac:dyDescent="0.25">
      <c r="A12" s="11" t="s">
        <v>36</v>
      </c>
      <c r="B12" s="12"/>
      <c r="C12" s="13">
        <v>20000</v>
      </c>
    </row>
    <row r="13" spans="1:7" ht="15.95" customHeight="1" x14ac:dyDescent="0.25">
      <c r="A13" s="11" t="s">
        <v>37</v>
      </c>
      <c r="B13" s="12"/>
      <c r="C13" s="14">
        <v>0.09</v>
      </c>
    </row>
    <row r="14" spans="1:7" ht="15.95" customHeight="1" x14ac:dyDescent="0.25">
      <c r="A14" s="11" t="s">
        <v>42</v>
      </c>
      <c r="B14" s="12"/>
      <c r="C14" s="20">
        <f>C13/C16</f>
        <v>7.4999999999999997E-3</v>
      </c>
    </row>
    <row r="15" spans="1:7" ht="15.95" customHeight="1" x14ac:dyDescent="0.25">
      <c r="A15" s="11" t="s">
        <v>47</v>
      </c>
      <c r="B15" s="12"/>
      <c r="C15" s="10">
        <v>2</v>
      </c>
    </row>
    <row r="16" spans="1:7" ht="15.95" customHeight="1" x14ac:dyDescent="0.25">
      <c r="A16" s="11" t="s">
        <v>48</v>
      </c>
      <c r="B16" s="12"/>
      <c r="C16" s="10">
        <v>12</v>
      </c>
      <c r="D16" t="s">
        <v>71</v>
      </c>
    </row>
    <row r="17" spans="1:10" ht="15.95" customHeight="1" x14ac:dyDescent="0.25">
      <c r="A17" s="11" t="s">
        <v>61</v>
      </c>
      <c r="B17" s="12"/>
      <c r="C17" s="24">
        <f>PMT(C14,C15*C16,-C12,,1)</f>
        <v>906.89314698110354</v>
      </c>
      <c r="E17" s="21" t="s">
        <v>55</v>
      </c>
    </row>
    <row r="18" spans="1:10" ht="15.95" customHeight="1" x14ac:dyDescent="0.25">
      <c r="A18" t="s">
        <v>27</v>
      </c>
      <c r="H18" s="21" t="s">
        <v>54</v>
      </c>
    </row>
    <row r="19" spans="1:10" ht="15.95" customHeight="1" x14ac:dyDescent="0.25">
      <c r="A19" s="15" t="s">
        <v>52</v>
      </c>
      <c r="I19" s="21" t="s">
        <v>53</v>
      </c>
    </row>
    <row r="20" spans="1:10" ht="15.95" customHeight="1" x14ac:dyDescent="0.25">
      <c r="A20" t="s">
        <v>27</v>
      </c>
      <c r="C20" t="s">
        <v>49</v>
      </c>
      <c r="F20" t="s">
        <v>50</v>
      </c>
    </row>
    <row r="21" spans="1:10" ht="15.95" customHeight="1" x14ac:dyDescent="0.25">
      <c r="A21" s="16" t="s">
        <v>38</v>
      </c>
      <c r="B21" s="9" t="s">
        <v>40</v>
      </c>
      <c r="C21" s="9" t="s">
        <v>43</v>
      </c>
      <c r="D21" s="9" t="s">
        <v>46</v>
      </c>
      <c r="E21" s="9" t="s">
        <v>44</v>
      </c>
      <c r="F21" s="9" t="s">
        <v>43</v>
      </c>
      <c r="G21" s="9" t="s">
        <v>46</v>
      </c>
      <c r="J21" s="21" t="s">
        <v>121</v>
      </c>
    </row>
    <row r="22" spans="1:10" ht="15.95" customHeight="1" x14ac:dyDescent="0.25">
      <c r="A22" s="22" t="s">
        <v>39</v>
      </c>
      <c r="B22" s="4" t="s">
        <v>41</v>
      </c>
      <c r="C22" s="4" t="s">
        <v>41</v>
      </c>
      <c r="D22" s="4" t="s">
        <v>41</v>
      </c>
      <c r="E22" s="4" t="s">
        <v>45</v>
      </c>
      <c r="F22" s="4" t="s">
        <v>41</v>
      </c>
      <c r="G22" s="4" t="s">
        <v>41</v>
      </c>
    </row>
    <row r="23" spans="1:10" ht="15.95" customHeight="1" x14ac:dyDescent="0.25">
      <c r="A23" s="16">
        <v>0</v>
      </c>
      <c r="B23" s="9"/>
      <c r="E23" s="17">
        <f>C12</f>
        <v>20000</v>
      </c>
      <c r="H23" s="18">
        <f>PV(C14,C15*C16,C17,,1)</f>
        <v>-20000.000000000204</v>
      </c>
      <c r="I23" t="s">
        <v>51</v>
      </c>
    </row>
    <row r="24" spans="1:10" ht="15.95" customHeight="1" x14ac:dyDescent="0.25">
      <c r="A24">
        <v>1</v>
      </c>
      <c r="B24" s="18">
        <f>$C$17</f>
        <v>906.89314698110354</v>
      </c>
      <c r="C24" s="19">
        <v>0</v>
      </c>
      <c r="D24" s="18">
        <f>B24-C24</f>
        <v>906.89314698110354</v>
      </c>
      <c r="E24" s="19">
        <f>E23-D24</f>
        <v>19093.106853018897</v>
      </c>
      <c r="F24" s="17">
        <f>IPMT($C$14,A24,$C$15*$C$16,-$C$12,,1)</f>
        <v>0</v>
      </c>
      <c r="G24" s="17">
        <f>PPMT($C$14,A24,$C$15*$C$16,-$C$12,,1)</f>
        <v>906.89314698110354</v>
      </c>
      <c r="H24" s="18" t="s">
        <v>64</v>
      </c>
    </row>
    <row r="25" spans="1:10" ht="15.95" customHeight="1" x14ac:dyDescent="0.25">
      <c r="A25">
        <v>2</v>
      </c>
      <c r="B25" s="18">
        <f t="shared" ref="B25:B47" si="0">$C$17</f>
        <v>906.89314698110354</v>
      </c>
      <c r="C25" s="19">
        <f>E24*$C$14</f>
        <v>143.19830139764173</v>
      </c>
      <c r="D25" s="18">
        <f>B25-C25</f>
        <v>763.69484558346176</v>
      </c>
      <c r="E25" s="19">
        <f t="shared" ref="E25:E47" si="1">E24-D25</f>
        <v>18329.412007435436</v>
      </c>
      <c r="F25" s="17">
        <f>IPMT($C$14,A25,$C$15*$C$16,-$C$12,,1)</f>
        <v>143.1983013976417</v>
      </c>
      <c r="G25" s="17">
        <f>PPMT($C$14,A25,$C$15*$C$16,-$C$12,,1)</f>
        <v>763.69484558346187</v>
      </c>
      <c r="H25" s="18" t="s">
        <v>65</v>
      </c>
    </row>
    <row r="26" spans="1:10" ht="15.95" customHeight="1" x14ac:dyDescent="0.25">
      <c r="A26">
        <v>3</v>
      </c>
      <c r="B26" s="18">
        <f t="shared" si="0"/>
        <v>906.89314698110354</v>
      </c>
      <c r="C26" s="19">
        <f t="shared" ref="C26:C47" si="2">E25*$C$14</f>
        <v>137.47059005576577</v>
      </c>
      <c r="D26" s="18">
        <f>B26-C26</f>
        <v>769.42255692533774</v>
      </c>
      <c r="E26" s="19">
        <f t="shared" si="1"/>
        <v>17559.989450510097</v>
      </c>
      <c r="F26" s="17">
        <f>IPMT($C$14,A26,$C$15*$C$16,-$C$12,,1)</f>
        <v>137.47059005576574</v>
      </c>
      <c r="G26" s="17">
        <f t="shared" ref="G26:G47" si="3">PPMT($C$14,A26,$C$15*$C$16,-$C$12,,1)</f>
        <v>769.42255692533774</v>
      </c>
      <c r="H26" s="18"/>
    </row>
    <row r="27" spans="1:10" ht="15.95" customHeight="1" x14ac:dyDescent="0.25">
      <c r="A27">
        <v>4</v>
      </c>
      <c r="B27" s="18">
        <f t="shared" si="0"/>
        <v>906.89314698110354</v>
      </c>
      <c r="C27" s="19">
        <f t="shared" si="2"/>
        <v>131.69992087882571</v>
      </c>
      <c r="D27" s="18">
        <f t="shared" ref="D27:D47" si="4">B27-C27</f>
        <v>775.19322610227778</v>
      </c>
      <c r="E27" s="19">
        <f t="shared" si="1"/>
        <v>16784.796224407819</v>
      </c>
      <c r="F27" s="17">
        <f t="shared" ref="F27:F45" si="5">IPMT($C$14,A27,$C$15*$C$16,-$C$12,,1)</f>
        <v>131.69992087882571</v>
      </c>
      <c r="G27" s="17">
        <f t="shared" si="3"/>
        <v>775.19322610227789</v>
      </c>
      <c r="H27" s="18"/>
    </row>
    <row r="28" spans="1:10" ht="15.95" customHeight="1" x14ac:dyDescent="0.25">
      <c r="A28">
        <v>5</v>
      </c>
      <c r="B28" s="18">
        <f t="shared" si="0"/>
        <v>906.89314698110354</v>
      </c>
      <c r="C28" s="19">
        <f t="shared" si="2"/>
        <v>125.88597168305864</v>
      </c>
      <c r="D28" s="18">
        <f t="shared" si="4"/>
        <v>781.0071752980449</v>
      </c>
      <c r="E28" s="19">
        <f t="shared" si="1"/>
        <v>16003.789049109773</v>
      </c>
      <c r="F28" s="17">
        <f t="shared" si="5"/>
        <v>125.8859716830586</v>
      </c>
      <c r="G28" s="17">
        <f t="shared" si="3"/>
        <v>781.00717529804479</v>
      </c>
      <c r="H28" s="18"/>
    </row>
    <row r="29" spans="1:10" ht="15.95" customHeight="1" x14ac:dyDescent="0.25">
      <c r="A29">
        <v>6</v>
      </c>
      <c r="B29" s="18">
        <f t="shared" si="0"/>
        <v>906.89314698110354</v>
      </c>
      <c r="C29" s="19">
        <f t="shared" si="2"/>
        <v>120.02841786832329</v>
      </c>
      <c r="D29" s="18">
        <f t="shared" si="4"/>
        <v>786.8647291127802</v>
      </c>
      <c r="E29" s="19">
        <f t="shared" si="1"/>
        <v>15216.924319996993</v>
      </c>
      <c r="F29" s="17">
        <f t="shared" si="5"/>
        <v>120.0284178683233</v>
      </c>
      <c r="G29" s="17">
        <f t="shared" si="3"/>
        <v>786.86472911278031</v>
      </c>
      <c r="H29" s="18"/>
    </row>
    <row r="30" spans="1:10" ht="15.95" customHeight="1" x14ac:dyDescent="0.25">
      <c r="A30">
        <v>7</v>
      </c>
      <c r="B30" s="18">
        <f t="shared" si="0"/>
        <v>906.89314698110354</v>
      </c>
      <c r="C30" s="19">
        <f t="shared" si="2"/>
        <v>114.12693239997745</v>
      </c>
      <c r="D30" s="18">
        <f t="shared" si="4"/>
        <v>792.76621458112606</v>
      </c>
      <c r="E30" s="19">
        <f t="shared" si="1"/>
        <v>14424.158105415867</v>
      </c>
      <c r="F30" s="17">
        <f t="shared" si="5"/>
        <v>114.12693239997743</v>
      </c>
      <c r="G30" s="17">
        <f t="shared" si="3"/>
        <v>792.76621458112606</v>
      </c>
      <c r="H30" s="18"/>
    </row>
    <row r="31" spans="1:10" ht="15.95" customHeight="1" x14ac:dyDescent="0.25">
      <c r="A31">
        <v>8</v>
      </c>
      <c r="B31" s="18">
        <f t="shared" si="0"/>
        <v>906.89314698110354</v>
      </c>
      <c r="C31" s="19">
        <f t="shared" si="2"/>
        <v>108.181185790619</v>
      </c>
      <c r="D31" s="18">
        <f t="shared" si="4"/>
        <v>798.71196119048454</v>
      </c>
      <c r="E31" s="19">
        <f t="shared" si="1"/>
        <v>13625.446144225381</v>
      </c>
      <c r="F31" s="17">
        <f t="shared" si="5"/>
        <v>108.181185790619</v>
      </c>
      <c r="G31" s="17">
        <f t="shared" si="3"/>
        <v>798.71196119048466</v>
      </c>
      <c r="H31" s="18"/>
    </row>
    <row r="32" spans="1:10" ht="15.95" customHeight="1" x14ac:dyDescent="0.25">
      <c r="A32">
        <v>9</v>
      </c>
      <c r="B32" s="18">
        <f t="shared" si="0"/>
        <v>906.89314698110354</v>
      </c>
      <c r="C32" s="19">
        <f t="shared" si="2"/>
        <v>102.19084608169035</v>
      </c>
      <c r="D32" s="18">
        <f t="shared" si="4"/>
        <v>804.70230089941322</v>
      </c>
      <c r="E32" s="19">
        <f t="shared" si="1"/>
        <v>12820.743843325969</v>
      </c>
      <c r="F32" s="17">
        <f t="shared" si="5"/>
        <v>102.19084608169037</v>
      </c>
      <c r="G32" s="17">
        <f t="shared" si="3"/>
        <v>804.7023008994131</v>
      </c>
      <c r="H32" s="26" t="s">
        <v>27</v>
      </c>
    </row>
    <row r="33" spans="1:8" ht="15.95" customHeight="1" x14ac:dyDescent="0.25">
      <c r="A33">
        <v>10</v>
      </c>
      <c r="B33" s="18">
        <f t="shared" si="0"/>
        <v>906.89314698110354</v>
      </c>
      <c r="C33" s="19">
        <f t="shared" si="2"/>
        <v>96.155578824944755</v>
      </c>
      <c r="D33" s="18">
        <f t="shared" si="4"/>
        <v>810.73756815615877</v>
      </c>
      <c r="E33" s="19">
        <f t="shared" si="1"/>
        <v>12010.00627516981</v>
      </c>
      <c r="F33" s="17">
        <f t="shared" si="5"/>
        <v>96.155578824944783</v>
      </c>
      <c r="G33" s="17">
        <f t="shared" si="3"/>
        <v>810.73756815615877</v>
      </c>
      <c r="H33" s="18"/>
    </row>
    <row r="34" spans="1:8" x14ac:dyDescent="0.25">
      <c r="A34">
        <v>11</v>
      </c>
      <c r="B34" s="18">
        <f t="shared" si="0"/>
        <v>906.89314698110354</v>
      </c>
      <c r="C34" s="19">
        <f t="shared" si="2"/>
        <v>90.075047063773567</v>
      </c>
      <c r="D34" s="18">
        <f t="shared" si="4"/>
        <v>816.81809991732996</v>
      </c>
      <c r="E34" s="19">
        <f t="shared" si="1"/>
        <v>11193.188175252481</v>
      </c>
      <c r="F34" s="17">
        <f t="shared" si="5"/>
        <v>90.075047063773582</v>
      </c>
      <c r="G34" s="17">
        <f t="shared" si="3"/>
        <v>816.81809991732996</v>
      </c>
      <c r="H34" s="18"/>
    </row>
    <row r="35" spans="1:8" x14ac:dyDescent="0.25">
      <c r="A35">
        <v>12</v>
      </c>
      <c r="B35" s="18">
        <f t="shared" si="0"/>
        <v>906.89314698110354</v>
      </c>
      <c r="C35" s="19">
        <f t="shared" si="2"/>
        <v>83.948911314393598</v>
      </c>
      <c r="D35" s="18">
        <f t="shared" si="4"/>
        <v>822.94423566670991</v>
      </c>
      <c r="E35" s="19">
        <f t="shared" si="1"/>
        <v>10370.243939585771</v>
      </c>
      <c r="F35" s="17">
        <f t="shared" si="5"/>
        <v>83.948911314393612</v>
      </c>
      <c r="G35" s="17">
        <f t="shared" si="3"/>
        <v>822.94423566670991</v>
      </c>
      <c r="H35" s="18"/>
    </row>
    <row r="36" spans="1:8" x14ac:dyDescent="0.25">
      <c r="A36">
        <v>13</v>
      </c>
      <c r="B36" s="18">
        <f t="shared" si="0"/>
        <v>906.89314698110354</v>
      </c>
      <c r="C36" s="19">
        <f t="shared" si="2"/>
        <v>77.776829546893282</v>
      </c>
      <c r="D36" s="18">
        <f t="shared" si="4"/>
        <v>829.11631743421026</v>
      </c>
      <c r="E36" s="19">
        <f t="shared" si="1"/>
        <v>9541.12762215156</v>
      </c>
      <c r="F36" s="17">
        <f t="shared" si="5"/>
        <v>77.776829546893282</v>
      </c>
      <c r="G36" s="17">
        <f t="shared" si="3"/>
        <v>829.11631743421026</v>
      </c>
      <c r="H36" s="18"/>
    </row>
    <row r="37" spans="1:8" x14ac:dyDescent="0.25">
      <c r="A37">
        <v>14</v>
      </c>
      <c r="B37" s="18">
        <f>$C$17</f>
        <v>906.89314698110354</v>
      </c>
      <c r="C37" s="19">
        <f t="shared" si="2"/>
        <v>71.558457166136691</v>
      </c>
      <c r="D37" s="18">
        <f t="shared" si="4"/>
        <v>835.33468981496685</v>
      </c>
      <c r="E37" s="19">
        <f t="shared" si="1"/>
        <v>8705.7929323365934</v>
      </c>
      <c r="F37" s="17">
        <f t="shared" si="5"/>
        <v>71.558457166136705</v>
      </c>
      <c r="G37" s="17">
        <f t="shared" si="3"/>
        <v>835.33468981496674</v>
      </c>
      <c r="H37" s="18"/>
    </row>
    <row r="38" spans="1:8" x14ac:dyDescent="0.25">
      <c r="A38">
        <v>15</v>
      </c>
      <c r="B38" s="18">
        <f t="shared" si="0"/>
        <v>906.89314698110354</v>
      </c>
      <c r="C38" s="19">
        <f t="shared" si="2"/>
        <v>65.293446992524451</v>
      </c>
      <c r="D38" s="18">
        <f t="shared" si="4"/>
        <v>841.59969998857912</v>
      </c>
      <c r="E38" s="19">
        <f t="shared" si="1"/>
        <v>7864.1932323480141</v>
      </c>
      <c r="F38" s="17">
        <f t="shared" si="5"/>
        <v>65.293446992524437</v>
      </c>
      <c r="G38" s="17">
        <f t="shared" si="3"/>
        <v>841.599699988579</v>
      </c>
      <c r="H38" s="18"/>
    </row>
    <row r="39" spans="1:8" x14ac:dyDescent="0.25">
      <c r="A39">
        <v>16</v>
      </c>
      <c r="B39" s="18">
        <f t="shared" si="0"/>
        <v>906.89314698110354</v>
      </c>
      <c r="C39" s="19">
        <f t="shared" si="2"/>
        <v>58.981449242610104</v>
      </c>
      <c r="D39" s="18">
        <f t="shared" si="4"/>
        <v>847.91169773849344</v>
      </c>
      <c r="E39" s="19">
        <f t="shared" si="1"/>
        <v>7016.2815346095203</v>
      </c>
      <c r="F39" s="17">
        <f t="shared" si="5"/>
        <v>58.981449242610097</v>
      </c>
      <c r="G39" s="17">
        <f t="shared" si="3"/>
        <v>847.91169773849344</v>
      </c>
      <c r="H39" s="18"/>
    </row>
    <row r="40" spans="1:8" x14ac:dyDescent="0.25">
      <c r="A40">
        <v>17</v>
      </c>
      <c r="B40" s="18">
        <f t="shared" si="0"/>
        <v>906.89314698110354</v>
      </c>
      <c r="C40" s="19">
        <f t="shared" si="2"/>
        <v>52.622111509571404</v>
      </c>
      <c r="D40" s="18">
        <f t="shared" si="4"/>
        <v>854.27103547153217</v>
      </c>
      <c r="E40" s="19">
        <f t="shared" si="1"/>
        <v>6162.0104991379885</v>
      </c>
      <c r="F40" s="17">
        <f t="shared" si="5"/>
        <v>52.622111509571404</v>
      </c>
      <c r="G40" s="17">
        <f t="shared" si="3"/>
        <v>854.27103547153206</v>
      </c>
      <c r="H40" s="18"/>
    </row>
    <row r="41" spans="1:8" x14ac:dyDescent="0.25">
      <c r="A41">
        <v>18</v>
      </c>
      <c r="B41" s="18">
        <f t="shared" si="0"/>
        <v>906.89314698110354</v>
      </c>
      <c r="C41" s="19">
        <f t="shared" si="2"/>
        <v>46.21507874353491</v>
      </c>
      <c r="D41" s="18">
        <f t="shared" si="4"/>
        <v>860.6780682375686</v>
      </c>
      <c r="E41" s="19">
        <f t="shared" si="1"/>
        <v>5301.3324309004201</v>
      </c>
      <c r="F41" s="17">
        <f t="shared" si="5"/>
        <v>46.21507874353491</v>
      </c>
      <c r="G41" s="17">
        <f t="shared" si="3"/>
        <v>860.6780682375686</v>
      </c>
      <c r="H41" s="18"/>
    </row>
    <row r="42" spans="1:8" x14ac:dyDescent="0.25">
      <c r="A42">
        <v>19</v>
      </c>
      <c r="B42" s="18">
        <f t="shared" si="0"/>
        <v>906.89314698110354</v>
      </c>
      <c r="C42" s="19">
        <f>E41*$C$14</f>
        <v>39.75999323175315</v>
      </c>
      <c r="D42" s="18">
        <f t="shared" si="4"/>
        <v>867.13315374935041</v>
      </c>
      <c r="E42" s="19">
        <f t="shared" si="1"/>
        <v>4434.1992771510695</v>
      </c>
      <c r="F42" s="17">
        <f t="shared" si="5"/>
        <v>39.759993231753143</v>
      </c>
      <c r="G42" s="17">
        <f t="shared" si="3"/>
        <v>867.1331537493503</v>
      </c>
      <c r="H42" s="18"/>
    </row>
    <row r="43" spans="1:8" x14ac:dyDescent="0.25">
      <c r="A43">
        <v>20</v>
      </c>
      <c r="B43" s="18">
        <f t="shared" si="0"/>
        <v>906.89314698110354</v>
      </c>
      <c r="C43" s="19">
        <f t="shared" si="2"/>
        <v>33.256494578633017</v>
      </c>
      <c r="D43" s="18">
        <f t="shared" si="4"/>
        <v>873.63665240247053</v>
      </c>
      <c r="E43" s="19">
        <f t="shared" si="1"/>
        <v>3560.5626247485989</v>
      </c>
      <c r="F43" s="17">
        <f t="shared" si="5"/>
        <v>33.256494578633024</v>
      </c>
      <c r="G43" s="17">
        <f t="shared" si="3"/>
        <v>873.63665240247053</v>
      </c>
      <c r="H43" s="18"/>
    </row>
    <row r="44" spans="1:8" x14ac:dyDescent="0.25">
      <c r="A44">
        <v>21</v>
      </c>
      <c r="B44" s="18">
        <f t="shared" si="0"/>
        <v>906.89314698110354</v>
      </c>
      <c r="C44" s="19">
        <f t="shared" si="2"/>
        <v>26.70421968561449</v>
      </c>
      <c r="D44" s="18">
        <f t="shared" si="4"/>
        <v>880.18892729548907</v>
      </c>
      <c r="E44" s="19">
        <f t="shared" si="1"/>
        <v>2680.3736974531098</v>
      </c>
      <c r="F44" s="17">
        <f t="shared" si="5"/>
        <v>26.70421968561449</v>
      </c>
      <c r="G44" s="17">
        <f t="shared" si="3"/>
        <v>880.18892729548907</v>
      </c>
      <c r="H44" s="18"/>
    </row>
    <row r="45" spans="1:8" x14ac:dyDescent="0.25">
      <c r="A45">
        <v>22</v>
      </c>
      <c r="B45" s="18">
        <f t="shared" si="0"/>
        <v>906.89314698110354</v>
      </c>
      <c r="C45" s="19">
        <f t="shared" si="2"/>
        <v>20.102802730898322</v>
      </c>
      <c r="D45" s="18">
        <f t="shared" si="4"/>
        <v>886.79034425020518</v>
      </c>
      <c r="E45" s="19">
        <f t="shared" si="1"/>
        <v>1793.5833532029046</v>
      </c>
      <c r="F45" s="17">
        <f t="shared" si="5"/>
        <v>20.102802730898318</v>
      </c>
      <c r="G45" s="17">
        <f t="shared" si="3"/>
        <v>886.79034425020518</v>
      </c>
      <c r="H45" s="18"/>
    </row>
    <row r="46" spans="1:8" x14ac:dyDescent="0.25">
      <c r="A46">
        <v>23</v>
      </c>
      <c r="B46" s="18">
        <f t="shared" si="0"/>
        <v>906.89314698110354</v>
      </c>
      <c r="C46" s="19">
        <f t="shared" si="2"/>
        <v>13.451875149021784</v>
      </c>
      <c r="D46" s="18">
        <f t="shared" si="4"/>
        <v>893.44127183208172</v>
      </c>
      <c r="E46" s="19">
        <f t="shared" si="1"/>
        <v>900.14208137082289</v>
      </c>
      <c r="F46" s="17">
        <f>IPMT($C$14,A46,$C$15*$C$16,-$C$12,,1)</f>
        <v>13.451875149021781</v>
      </c>
      <c r="G46" s="17">
        <f>PPMT($C$14,A46,$C$15*$C$16,-$C$12,,1)</f>
        <v>893.44127183208172</v>
      </c>
      <c r="H46" s="18"/>
    </row>
    <row r="47" spans="1:8" x14ac:dyDescent="0.25">
      <c r="A47">
        <v>24</v>
      </c>
      <c r="B47" s="18">
        <f t="shared" si="0"/>
        <v>906.89314698110354</v>
      </c>
      <c r="C47" s="29">
        <f t="shared" si="2"/>
        <v>6.751065610281171</v>
      </c>
      <c r="D47" s="30">
        <f t="shared" si="4"/>
        <v>900.14208137082232</v>
      </c>
      <c r="E47" s="19">
        <f t="shared" si="1"/>
        <v>0</v>
      </c>
      <c r="F47" s="31">
        <f>IPMT($C$14,A47,$C$15*$C$16,-$C$12,,1)</f>
        <v>6.7510656102811684</v>
      </c>
      <c r="G47" s="31">
        <f t="shared" si="3"/>
        <v>900.14208137082244</v>
      </c>
      <c r="H47" s="18" t="s">
        <v>27</v>
      </c>
    </row>
    <row r="48" spans="1:8" x14ac:dyDescent="0.25">
      <c r="C48" s="19">
        <f>SUM(C24:C47)</f>
        <v>1765.4355275464864</v>
      </c>
      <c r="D48" s="19">
        <f>SUM(D24:D47)</f>
        <v>19999.999999999996</v>
      </c>
      <c r="F48" s="17">
        <f>SUM(F24:F47)</f>
        <v>1765.4355275464866</v>
      </c>
      <c r="G48" s="17">
        <f>SUM(G24:G47)</f>
        <v>19999.999999999996</v>
      </c>
      <c r="H48" t="s">
        <v>27</v>
      </c>
    </row>
    <row r="51" spans="1:8" x14ac:dyDescent="0.25">
      <c r="A51" t="s">
        <v>56</v>
      </c>
    </row>
    <row r="53" spans="1:8" x14ac:dyDescent="0.25">
      <c r="F53" s="4" t="s">
        <v>43</v>
      </c>
      <c r="G53" s="4" t="s">
        <v>46</v>
      </c>
    </row>
    <row r="54" spans="1:8" x14ac:dyDescent="0.25">
      <c r="D54" t="s">
        <v>57</v>
      </c>
      <c r="F54" s="17">
        <f>CUMIPMT(C14,C15*C16,C12,A36,A47,1)</f>
        <v>-512.47382418746929</v>
      </c>
      <c r="G54" s="17">
        <f>CUMPRINC(C14,C15*C16,C12,A36,A47,1)</f>
        <v>-10370.243939585773</v>
      </c>
    </row>
    <row r="55" spans="1:8" x14ac:dyDescent="0.25">
      <c r="D55" t="s">
        <v>63</v>
      </c>
      <c r="F55" s="19">
        <f>SUM(F36:F47)</f>
        <v>512.4738241874727</v>
      </c>
      <c r="G55" s="19">
        <f>SUM(G36:G47)</f>
        <v>10370.243939585769</v>
      </c>
    </row>
    <row r="56" spans="1:8" x14ac:dyDescent="0.25">
      <c r="E56" s="21" t="s">
        <v>59</v>
      </c>
      <c r="H56" s="21" t="s">
        <v>60</v>
      </c>
    </row>
    <row r="58" spans="1:8" x14ac:dyDescent="0.25">
      <c r="A58" t="s">
        <v>62</v>
      </c>
      <c r="E58" s="25">
        <f>NPER(C14,C17,-C12,,1)</f>
        <v>23.999999999999797</v>
      </c>
      <c r="G58" s="21" t="s">
        <v>120</v>
      </c>
    </row>
  </sheetData>
  <pageMargins left="0.7" right="0.7" top="0.75" bottom="0.75" header="0.3" footer="0.3"/>
  <pageSetup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22" workbookViewId="0">
      <selection activeCell="A6" sqref="A6"/>
    </sheetView>
  </sheetViews>
  <sheetFormatPr defaultRowHeight="15" x14ac:dyDescent="0.25"/>
  <cols>
    <col min="1" max="1" width="13.85546875" customWidth="1"/>
    <col min="2" max="2" width="12.42578125" customWidth="1"/>
    <col min="3" max="3" width="13.85546875" customWidth="1"/>
    <col min="5" max="5" width="11.5703125" customWidth="1"/>
  </cols>
  <sheetData>
    <row r="1" spans="1:8" ht="18.75" x14ac:dyDescent="0.3">
      <c r="C1" s="1" t="s">
        <v>0</v>
      </c>
    </row>
    <row r="2" spans="1:8" ht="18.75" x14ac:dyDescent="0.3">
      <c r="C2" s="1" t="s">
        <v>5</v>
      </c>
    </row>
    <row r="3" spans="1:8" ht="18" customHeight="1" x14ac:dyDescent="0.3">
      <c r="C3" s="1" t="s">
        <v>14</v>
      </c>
    </row>
    <row r="4" spans="1:8" ht="6" customHeight="1" x14ac:dyDescent="0.25">
      <c r="A4" s="2"/>
      <c r="B4" s="2"/>
      <c r="C4" s="2"/>
      <c r="D4" s="2"/>
      <c r="E4" s="2"/>
      <c r="F4" s="2"/>
      <c r="G4" s="2"/>
      <c r="H4" s="2"/>
    </row>
    <row r="5" spans="1:8" ht="15.95" customHeight="1" x14ac:dyDescent="0.25">
      <c r="A5" s="3" t="s">
        <v>30</v>
      </c>
    </row>
    <row r="6" spans="1:8" ht="15.95" customHeight="1" x14ac:dyDescent="0.25"/>
    <row r="7" spans="1:8" ht="15.95" customHeight="1" x14ac:dyDescent="0.25">
      <c r="A7" s="15" t="s">
        <v>97</v>
      </c>
    </row>
    <row r="8" spans="1:8" ht="15.95" customHeight="1" x14ac:dyDescent="0.25">
      <c r="A8" s="11" t="s">
        <v>36</v>
      </c>
      <c r="B8" s="12"/>
      <c r="C8" s="13">
        <v>20000</v>
      </c>
    </row>
    <row r="9" spans="1:8" ht="15.95" customHeight="1" x14ac:dyDescent="0.25">
      <c r="A9" s="11" t="s">
        <v>37</v>
      </c>
      <c r="B9" s="12"/>
      <c r="C9" s="14">
        <v>0.09</v>
      </c>
    </row>
    <row r="10" spans="1:8" ht="15.95" customHeight="1" x14ac:dyDescent="0.25">
      <c r="A10" s="11" t="s">
        <v>47</v>
      </c>
      <c r="B10" s="12"/>
      <c r="C10" s="10">
        <v>2</v>
      </c>
    </row>
    <row r="11" spans="1:8" ht="15.95" customHeight="1" x14ac:dyDescent="0.25">
      <c r="A11" s="11" t="s">
        <v>48</v>
      </c>
      <c r="B11" s="12"/>
      <c r="C11" s="10">
        <v>12</v>
      </c>
      <c r="D11" t="s">
        <v>68</v>
      </c>
    </row>
    <row r="12" spans="1:8" ht="15.95" customHeight="1" x14ac:dyDescent="0.25">
      <c r="A12" s="11" t="s">
        <v>61</v>
      </c>
      <c r="B12" s="12"/>
      <c r="C12" s="24">
        <f>'1 - Payment Functions'!C17</f>
        <v>906.89314698110354</v>
      </c>
    </row>
    <row r="13" spans="1:8" ht="15.95" customHeight="1" x14ac:dyDescent="0.25">
      <c r="G13" s="21" t="s">
        <v>69</v>
      </c>
    </row>
    <row r="14" spans="1:8" ht="15.95" customHeight="1" x14ac:dyDescent="0.25">
      <c r="A14" t="s">
        <v>66</v>
      </c>
      <c r="E14" s="27">
        <f>EFFECT(C9,C10*C11)</f>
        <v>9.3990117605939005E-2</v>
      </c>
    </row>
    <row r="15" spans="1:8" ht="15.95" customHeight="1" x14ac:dyDescent="0.25">
      <c r="A15" t="s">
        <v>27</v>
      </c>
    </row>
    <row r="16" spans="1:8" ht="15.95" customHeight="1" x14ac:dyDescent="0.25">
      <c r="A16" t="s">
        <v>67</v>
      </c>
      <c r="E16" s="28">
        <f>RATE(C10*C11,C12,-C8,,1,)</f>
        <v>7.4999999996938757E-3</v>
      </c>
      <c r="G16" s="21" t="s">
        <v>70</v>
      </c>
    </row>
    <row r="17" spans="1:7" ht="15.95" customHeight="1" x14ac:dyDescent="0.25"/>
    <row r="18" spans="1:7" ht="15.95" customHeight="1" x14ac:dyDescent="0.25"/>
    <row r="19" spans="1:7" ht="15.95" customHeight="1" x14ac:dyDescent="0.25">
      <c r="A19" s="15" t="s">
        <v>98</v>
      </c>
    </row>
    <row r="20" spans="1:7" ht="15.95" customHeight="1" x14ac:dyDescent="0.25">
      <c r="A20" t="s">
        <v>78</v>
      </c>
    </row>
    <row r="21" spans="1:7" ht="15.95" customHeight="1" x14ac:dyDescent="0.25">
      <c r="A21" t="s">
        <v>79</v>
      </c>
    </row>
    <row r="22" spans="1:7" ht="15.95" customHeight="1" x14ac:dyDescent="0.25"/>
    <row r="23" spans="1:7" ht="15.95" customHeight="1" x14ac:dyDescent="0.25">
      <c r="A23" t="s">
        <v>72</v>
      </c>
      <c r="C23" s="33">
        <v>41334</v>
      </c>
      <c r="D23" t="s">
        <v>76</v>
      </c>
    </row>
    <row r="24" spans="1:7" ht="15.95" customHeight="1" x14ac:dyDescent="0.25">
      <c r="A24" t="s">
        <v>73</v>
      </c>
      <c r="C24" s="33">
        <v>41579</v>
      </c>
      <c r="D24" t="s">
        <v>77</v>
      </c>
    </row>
    <row r="25" spans="1:7" ht="15.95" customHeight="1" x14ac:dyDescent="0.25">
      <c r="A25" t="s">
        <v>74</v>
      </c>
      <c r="C25" s="34">
        <v>25000</v>
      </c>
      <c r="D25" t="s">
        <v>80</v>
      </c>
    </row>
    <row r="26" spans="1:7" ht="15.95" customHeight="1" x14ac:dyDescent="0.25">
      <c r="A26" t="s">
        <v>75</v>
      </c>
      <c r="C26" s="34">
        <v>28500</v>
      </c>
      <c r="D26" t="s">
        <v>81</v>
      </c>
    </row>
    <row r="27" spans="1:7" ht="15.95" customHeight="1" x14ac:dyDescent="0.25"/>
    <row r="28" spans="1:7" ht="15.95" customHeight="1" x14ac:dyDescent="0.25">
      <c r="A28" t="s">
        <v>82</v>
      </c>
      <c r="E28" s="27">
        <f>INTRATE(C23,C24,C25,C26,0)</f>
        <v>0.21000000000000002</v>
      </c>
      <c r="G28" s="21" t="s">
        <v>83</v>
      </c>
    </row>
    <row r="29" spans="1:7" ht="15.95" customHeight="1" x14ac:dyDescent="0.25">
      <c r="C29" s="32" t="s">
        <v>27</v>
      </c>
    </row>
    <row r="30" spans="1:7" ht="15.95" customHeight="1" x14ac:dyDescent="0.25">
      <c r="A30" t="s">
        <v>84</v>
      </c>
      <c r="E30" s="35">
        <f>RECEIVED(C23,C24,C25,0.15,0)</f>
        <v>27777.777777777777</v>
      </c>
      <c r="G30" s="21" t="s">
        <v>85</v>
      </c>
    </row>
    <row r="31" spans="1:7" x14ac:dyDescent="0.25">
      <c r="A31" t="s">
        <v>27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heetViews>
  <sheetFormatPr defaultRowHeight="15" x14ac:dyDescent="0.25"/>
  <cols>
    <col min="1" max="1" width="10.42578125" customWidth="1"/>
    <col min="2" max="2" width="11.5703125" customWidth="1"/>
    <col min="3" max="3" width="13.28515625" customWidth="1"/>
    <col min="5" max="5" width="9.7109375" bestFit="1" customWidth="1"/>
  </cols>
  <sheetData>
    <row r="1" spans="1:8" ht="18.75" x14ac:dyDescent="0.3">
      <c r="C1" s="1" t="s">
        <v>0</v>
      </c>
    </row>
    <row r="2" spans="1:8" ht="18.75" x14ac:dyDescent="0.3">
      <c r="C2" s="1" t="s">
        <v>5</v>
      </c>
    </row>
    <row r="3" spans="1:8" ht="18" customHeight="1" x14ac:dyDescent="0.3">
      <c r="C3" s="1" t="s">
        <v>18</v>
      </c>
    </row>
    <row r="4" spans="1:8" ht="6" customHeight="1" x14ac:dyDescent="0.25">
      <c r="A4" s="2"/>
      <c r="B4" s="2"/>
      <c r="C4" s="2"/>
      <c r="D4" s="2"/>
      <c r="E4" s="2"/>
      <c r="F4" s="2"/>
      <c r="G4" s="2"/>
      <c r="H4" s="2"/>
    </row>
    <row r="5" spans="1:8" ht="15.95" customHeight="1" x14ac:dyDescent="0.25">
      <c r="A5" s="3" t="s">
        <v>31</v>
      </c>
    </row>
    <row r="6" spans="1:8" ht="15.95" customHeight="1" x14ac:dyDescent="0.25"/>
    <row r="7" spans="1:8" ht="15.95" customHeight="1" x14ac:dyDescent="0.25">
      <c r="A7" s="15" t="s">
        <v>99</v>
      </c>
    </row>
    <row r="8" spans="1:8" ht="15.95" customHeight="1" x14ac:dyDescent="0.25">
      <c r="A8" t="s">
        <v>104</v>
      </c>
      <c r="C8" s="33">
        <v>40848</v>
      </c>
      <c r="F8" t="s">
        <v>27</v>
      </c>
    </row>
    <row r="9" spans="1:8" ht="15.95" customHeight="1" x14ac:dyDescent="0.25">
      <c r="A9" t="s">
        <v>72</v>
      </c>
      <c r="C9" s="33">
        <v>40928</v>
      </c>
    </row>
    <row r="10" spans="1:8" ht="15.95" customHeight="1" x14ac:dyDescent="0.25">
      <c r="A10" t="s">
        <v>73</v>
      </c>
      <c r="C10" s="33">
        <v>42308</v>
      </c>
    </row>
    <row r="11" spans="1:8" ht="15.95" customHeight="1" x14ac:dyDescent="0.25">
      <c r="A11" t="s">
        <v>100</v>
      </c>
      <c r="C11">
        <v>99.234499999999997</v>
      </c>
    </row>
    <row r="12" spans="1:8" ht="15.95" customHeight="1" x14ac:dyDescent="0.25">
      <c r="A12" t="s">
        <v>101</v>
      </c>
      <c r="C12" s="36">
        <v>5.7500000000000002E-2</v>
      </c>
    </row>
    <row r="13" spans="1:8" ht="15.95" customHeight="1" x14ac:dyDescent="0.25">
      <c r="A13" t="s">
        <v>102</v>
      </c>
      <c r="C13" s="37">
        <v>100</v>
      </c>
    </row>
    <row r="14" spans="1:8" ht="15.95" customHeight="1" x14ac:dyDescent="0.25"/>
    <row r="15" spans="1:8" ht="15.95" customHeight="1" x14ac:dyDescent="0.25">
      <c r="A15" t="s">
        <v>103</v>
      </c>
      <c r="C15" s="38">
        <f>YIELD(C9,C10,C12,C11,C13,2,0)</f>
        <v>5.9762368450264697E-2</v>
      </c>
      <c r="E15" s="21" t="s">
        <v>109</v>
      </c>
    </row>
    <row r="16" spans="1:8" ht="15.95" customHeight="1" x14ac:dyDescent="0.25">
      <c r="A16" t="s">
        <v>105</v>
      </c>
      <c r="C16" s="38">
        <f>YIELDMAT(C9,C10,C8,C12,C11,0)</f>
        <v>5.923086858897119E-2</v>
      </c>
      <c r="D16" t="s">
        <v>27</v>
      </c>
      <c r="E16" s="21" t="s">
        <v>110</v>
      </c>
    </row>
    <row r="17" spans="1:5" ht="15.95" customHeight="1" x14ac:dyDescent="0.25">
      <c r="A17" t="s">
        <v>116</v>
      </c>
      <c r="C17" s="39">
        <f>PRICE(C9,C10,C12,C15,C13,2,0)</f>
        <v>99.234499999999983</v>
      </c>
      <c r="E17" s="21" t="s">
        <v>115</v>
      </c>
    </row>
    <row r="18" spans="1:5" ht="15.95" customHeight="1" x14ac:dyDescent="0.25">
      <c r="C18" s="40"/>
      <c r="E18" s="21"/>
    </row>
    <row r="19" spans="1:5" ht="15.95" customHeight="1" x14ac:dyDescent="0.25">
      <c r="C19" s="36" t="s">
        <v>27</v>
      </c>
    </row>
    <row r="20" spans="1:5" ht="15.95" customHeight="1" x14ac:dyDescent="0.25">
      <c r="A20" s="15" t="s">
        <v>111</v>
      </c>
      <c r="C20" s="36"/>
    </row>
    <row r="21" spans="1:5" ht="15.95" customHeight="1" x14ac:dyDescent="0.25">
      <c r="A21" t="s">
        <v>112</v>
      </c>
      <c r="C21" s="33">
        <v>42109</v>
      </c>
    </row>
    <row r="22" spans="1:5" ht="15.95" customHeight="1" x14ac:dyDescent="0.25">
      <c r="A22" t="s">
        <v>113</v>
      </c>
      <c r="C22" s="33">
        <v>42248</v>
      </c>
    </row>
    <row r="23" spans="1:5" ht="15.95" customHeight="1" x14ac:dyDescent="0.25">
      <c r="A23" t="s">
        <v>114</v>
      </c>
      <c r="C23" s="41">
        <v>96</v>
      </c>
    </row>
    <row r="24" spans="1:5" ht="15.95" customHeight="1" x14ac:dyDescent="0.25">
      <c r="C24" s="36" t="s">
        <v>27</v>
      </c>
    </row>
    <row r="25" spans="1:5" ht="15.95" customHeight="1" x14ac:dyDescent="0.25">
      <c r="A25" t="s">
        <v>103</v>
      </c>
      <c r="C25" s="27">
        <f>TBILLYIELD(C21,C22,C23)</f>
        <v>0.1079136690647482</v>
      </c>
      <c r="E25" s="21" t="s">
        <v>117</v>
      </c>
    </row>
    <row r="26" spans="1:5" ht="15.95" customHeight="1" x14ac:dyDescent="0.25">
      <c r="A26" t="s">
        <v>114</v>
      </c>
      <c r="C26" s="42">
        <f>TBILLPRICE(C21,C22,C25)</f>
        <v>95.833333333333343</v>
      </c>
      <c r="E26" s="21" t="s">
        <v>118</v>
      </c>
    </row>
    <row r="27" spans="1:5" ht="15.95" customHeight="1" x14ac:dyDescent="0.25"/>
    <row r="28" spans="1:5" ht="15.95" customHeight="1" x14ac:dyDescent="0.25"/>
    <row r="29" spans="1:5" ht="15.95" customHeigh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4"/>
  <sheetViews>
    <sheetView zoomScaleNormal="100" workbookViewId="0"/>
  </sheetViews>
  <sheetFormatPr defaultRowHeight="15" x14ac:dyDescent="0.25"/>
  <cols>
    <col min="2" max="2" width="11.7109375" customWidth="1"/>
    <col min="3" max="3" width="13.5703125" customWidth="1"/>
    <col min="4" max="10" width="14.7109375" customWidth="1"/>
  </cols>
  <sheetData>
    <row r="1" spans="1:10" ht="18.75" x14ac:dyDescent="0.3">
      <c r="C1" s="1" t="s">
        <v>0</v>
      </c>
    </row>
    <row r="2" spans="1:10" ht="18.75" x14ac:dyDescent="0.3">
      <c r="C2" s="1" t="s">
        <v>5</v>
      </c>
    </row>
    <row r="3" spans="1:10" ht="18" customHeight="1" x14ac:dyDescent="0.3">
      <c r="C3" s="1" t="s">
        <v>22</v>
      </c>
    </row>
    <row r="4" spans="1:10" ht="6" customHeight="1" x14ac:dyDescent="0.25">
      <c r="A4" s="2"/>
      <c r="B4" s="2"/>
      <c r="C4" s="2"/>
      <c r="D4" s="2"/>
      <c r="E4" s="2"/>
      <c r="F4" s="2"/>
      <c r="G4" s="2"/>
      <c r="H4" s="2"/>
      <c r="I4" s="2"/>
      <c r="J4" s="2"/>
    </row>
    <row r="5" spans="1:10" ht="15.95" customHeight="1" x14ac:dyDescent="0.25">
      <c r="A5" s="3" t="s">
        <v>32</v>
      </c>
    </row>
    <row r="6" spans="1:10" ht="15.95" customHeight="1" x14ac:dyDescent="0.25"/>
    <row r="7" spans="1:10" ht="15.95" customHeight="1" x14ac:dyDescent="0.25">
      <c r="A7" s="15" t="s">
        <v>123</v>
      </c>
    </row>
    <row r="8" spans="1:10" ht="15.95" customHeight="1" x14ac:dyDescent="0.25">
      <c r="A8" t="s">
        <v>124</v>
      </c>
      <c r="C8" s="17">
        <v>65000</v>
      </c>
      <c r="E8" s="3" t="s">
        <v>156</v>
      </c>
    </row>
    <row r="9" spans="1:10" ht="15.95" customHeight="1" x14ac:dyDescent="0.25">
      <c r="A9" t="s">
        <v>126</v>
      </c>
      <c r="C9">
        <v>5</v>
      </c>
      <c r="E9" s="3" t="s">
        <v>157</v>
      </c>
    </row>
    <row r="10" spans="1:10" ht="15.95" customHeight="1" x14ac:dyDescent="0.25">
      <c r="A10" t="s">
        <v>129</v>
      </c>
      <c r="C10">
        <v>60</v>
      </c>
      <c r="E10" s="3" t="s">
        <v>158</v>
      </c>
    </row>
    <row r="11" spans="1:10" ht="15.95" customHeight="1" x14ac:dyDescent="0.25">
      <c r="A11" t="s">
        <v>125</v>
      </c>
      <c r="C11" s="17">
        <v>5000</v>
      </c>
      <c r="E11" s="3" t="s">
        <v>159</v>
      </c>
    </row>
    <row r="12" spans="1:10" ht="15.95" customHeight="1" x14ac:dyDescent="0.25">
      <c r="A12" t="s">
        <v>127</v>
      </c>
      <c r="C12" s="33">
        <v>41883</v>
      </c>
    </row>
    <row r="13" spans="1:10" ht="15.95" customHeight="1" x14ac:dyDescent="0.25"/>
    <row r="14" spans="1:10" ht="15.95" customHeight="1" x14ac:dyDescent="0.25">
      <c r="C14" t="s">
        <v>145</v>
      </c>
      <c r="G14" t="s">
        <v>151</v>
      </c>
    </row>
    <row r="15" spans="1:10" ht="15.95" customHeight="1" x14ac:dyDescent="0.25">
      <c r="A15" s="9" t="s">
        <v>139</v>
      </c>
      <c r="B15" s="9" t="s">
        <v>138</v>
      </c>
      <c r="C15" s="9" t="s">
        <v>136</v>
      </c>
      <c r="D15" s="9" t="s">
        <v>141</v>
      </c>
      <c r="E15" s="9" t="s">
        <v>142</v>
      </c>
      <c r="F15" s="9" t="s">
        <v>143</v>
      </c>
      <c r="G15" s="9" t="s">
        <v>136</v>
      </c>
      <c r="H15" s="9" t="s">
        <v>141</v>
      </c>
      <c r="I15" s="9" t="s">
        <v>142</v>
      </c>
      <c r="J15" s="9" t="s">
        <v>143</v>
      </c>
    </row>
    <row r="16" spans="1:10" ht="15.95" customHeight="1" x14ac:dyDescent="0.25">
      <c r="A16" s="9" t="s">
        <v>138</v>
      </c>
      <c r="B16" s="9" t="s">
        <v>140</v>
      </c>
      <c r="C16" s="9" t="s">
        <v>137</v>
      </c>
      <c r="D16" s="9" t="s">
        <v>45</v>
      </c>
      <c r="E16" s="9" t="s">
        <v>141</v>
      </c>
      <c r="F16" s="9" t="s">
        <v>144</v>
      </c>
      <c r="G16" s="9" t="s">
        <v>137</v>
      </c>
      <c r="H16" s="9" t="s">
        <v>45</v>
      </c>
      <c r="I16" s="9" t="s">
        <v>141</v>
      </c>
      <c r="J16" s="9" t="s">
        <v>144</v>
      </c>
    </row>
    <row r="17" spans="1:10" ht="15.95" customHeight="1" x14ac:dyDescent="0.25">
      <c r="A17" t="s">
        <v>27</v>
      </c>
      <c r="C17" s="46" t="s">
        <v>146</v>
      </c>
      <c r="D17" s="46" t="s">
        <v>147</v>
      </c>
      <c r="E17" s="46" t="s">
        <v>149</v>
      </c>
      <c r="F17" s="46" t="s">
        <v>148</v>
      </c>
    </row>
    <row r="18" spans="1:10" ht="15.95" customHeight="1" x14ac:dyDescent="0.25">
      <c r="A18" s="43">
        <v>41883</v>
      </c>
      <c r="B18">
        <v>1</v>
      </c>
      <c r="C18" s="18">
        <f>SLN($C$8,$C$11,$C$10)</f>
        <v>1000</v>
      </c>
      <c r="D18" s="18">
        <f>DB($C$8,$C$11,$C$10,B18)</f>
        <v>2730</v>
      </c>
      <c r="E18" s="18">
        <f>DDB($C$8,$C$11,$C$10,B18,2.6)</f>
        <v>2816.666666666667</v>
      </c>
      <c r="F18" s="18">
        <f>SYD($C$8,$C$11,$C$10,B18)</f>
        <v>1967.2131147540983</v>
      </c>
      <c r="G18" s="19">
        <f>C8-C18</f>
        <v>64000</v>
      </c>
      <c r="H18" s="19">
        <f>C8-D18</f>
        <v>62270</v>
      </c>
      <c r="I18" s="19">
        <f>C8-E18</f>
        <v>62183.333333333336</v>
      </c>
      <c r="J18" s="19">
        <f>C8-F18</f>
        <v>63032.7868852459</v>
      </c>
    </row>
    <row r="19" spans="1:10" ht="15.95" customHeight="1" x14ac:dyDescent="0.25">
      <c r="A19" s="43">
        <v>41913</v>
      </c>
      <c r="B19">
        <v>2</v>
      </c>
      <c r="C19" s="18">
        <f t="shared" ref="C19:C82" si="0">SLN($C$8,$C$11,$C$10)</f>
        <v>1000</v>
      </c>
      <c r="D19" s="18">
        <f>DB($C$8,$C$11,$C$10,B19)</f>
        <v>2615.34</v>
      </c>
      <c r="E19" s="18">
        <f t="shared" ref="E19:E82" si="1">DDB($C$8,$C$11,$C$10,B19,2.6)</f>
        <v>2694.6111111111113</v>
      </c>
      <c r="F19" s="18">
        <f t="shared" ref="F19:F82" si="2">SYD($C$8,$C$11,$C$10,B19)</f>
        <v>1934.4262295081967</v>
      </c>
      <c r="G19" s="19">
        <f>G18-C19</f>
        <v>63000</v>
      </c>
      <c r="H19" s="19">
        <f>H18-D19</f>
        <v>59654.66</v>
      </c>
      <c r="I19" s="19">
        <f>I18-E19</f>
        <v>59488.722222222226</v>
      </c>
      <c r="J19" s="19">
        <f>J18-F19</f>
        <v>61098.360655737706</v>
      </c>
    </row>
    <row r="20" spans="1:10" ht="15.95" customHeight="1" x14ac:dyDescent="0.25">
      <c r="A20" s="43">
        <v>41944</v>
      </c>
      <c r="B20">
        <v>3</v>
      </c>
      <c r="C20" s="18">
        <f t="shared" si="0"/>
        <v>1000</v>
      </c>
      <c r="D20" s="18">
        <f>DB($C$8,$C$11,$C$10,B20)</f>
        <v>2505.4957200000003</v>
      </c>
      <c r="E20" s="18">
        <f t="shared" si="1"/>
        <v>2577.8446296296297</v>
      </c>
      <c r="F20" s="18">
        <f t="shared" si="2"/>
        <v>1901.639344262295</v>
      </c>
      <c r="G20" s="19">
        <f t="shared" ref="G20:G82" si="3">G19-C20</f>
        <v>62000</v>
      </c>
      <c r="H20" s="19">
        <f t="shared" ref="H20:H82" si="4">H19-D20</f>
        <v>57149.164280000005</v>
      </c>
      <c r="I20" s="19">
        <f t="shared" ref="I20:I80" si="5">I19-E20</f>
        <v>56910.877592592595</v>
      </c>
      <c r="J20" s="19">
        <f t="shared" ref="J20:J82" si="6">J19-F20</f>
        <v>59196.721311475412</v>
      </c>
    </row>
    <row r="21" spans="1:10" ht="15.95" customHeight="1" x14ac:dyDescent="0.25">
      <c r="A21" s="43">
        <v>41974</v>
      </c>
      <c r="B21">
        <v>4</v>
      </c>
      <c r="C21" s="18">
        <f t="shared" si="0"/>
        <v>1000</v>
      </c>
      <c r="D21" s="18">
        <f>DB($C$8,$C$11,$C$10,B21)</f>
        <v>2400.2648997600004</v>
      </c>
      <c r="E21" s="18">
        <f t="shared" si="1"/>
        <v>2466.1380290123457</v>
      </c>
      <c r="F21" s="18">
        <f t="shared" si="2"/>
        <v>1868.8524590163934</v>
      </c>
      <c r="G21" s="19">
        <f t="shared" si="3"/>
        <v>61000</v>
      </c>
      <c r="H21" s="19">
        <f t="shared" si="4"/>
        <v>54748.899380240007</v>
      </c>
      <c r="I21" s="19">
        <f t="shared" si="5"/>
        <v>54444.739563580246</v>
      </c>
      <c r="J21" s="19">
        <f t="shared" si="6"/>
        <v>57327.868852459018</v>
      </c>
    </row>
    <row r="22" spans="1:10" ht="15.95" customHeight="1" x14ac:dyDescent="0.25">
      <c r="A22" s="44" t="s">
        <v>130</v>
      </c>
      <c r="C22" s="45">
        <f>SUM(C18:C21)</f>
        <v>4000</v>
      </c>
      <c r="D22" s="45">
        <f t="shared" ref="D22:F22" si="7">SUM(D18:D21)</f>
        <v>10251.100619760002</v>
      </c>
      <c r="E22" s="45">
        <f t="shared" si="7"/>
        <v>10555.260436419754</v>
      </c>
      <c r="F22" s="45">
        <f t="shared" si="7"/>
        <v>7672.131147540983</v>
      </c>
      <c r="G22" s="19"/>
      <c r="H22" s="19"/>
      <c r="I22" s="19"/>
      <c r="J22" s="19"/>
    </row>
    <row r="23" spans="1:10" ht="15.95" customHeight="1" x14ac:dyDescent="0.25">
      <c r="A23" s="43">
        <v>42005</v>
      </c>
      <c r="B23">
        <v>5</v>
      </c>
      <c r="C23" s="18">
        <f t="shared" si="0"/>
        <v>1000</v>
      </c>
      <c r="D23" s="18">
        <f t="shared" ref="D23:D34" si="8">DB($C$8,$C$11,$C$10,B23)</f>
        <v>2299.4537739700804</v>
      </c>
      <c r="E23" s="18">
        <f t="shared" si="1"/>
        <v>2359.2720477551443</v>
      </c>
      <c r="F23" s="18">
        <f t="shared" si="2"/>
        <v>1836.0655737704917</v>
      </c>
      <c r="G23" s="19">
        <f>G21-C23</f>
        <v>60000</v>
      </c>
      <c r="H23" s="19">
        <f>H21-D23</f>
        <v>52449.445606269925</v>
      </c>
      <c r="I23" s="19">
        <f>I21-E23</f>
        <v>52085.467515825105</v>
      </c>
      <c r="J23" s="19">
        <f>J21-F23</f>
        <v>55491.803278688523</v>
      </c>
    </row>
    <row r="24" spans="1:10" ht="15.95" customHeight="1" x14ac:dyDescent="0.25">
      <c r="A24" s="43">
        <v>42036</v>
      </c>
      <c r="B24">
        <v>6</v>
      </c>
      <c r="C24" s="18">
        <f t="shared" si="0"/>
        <v>1000</v>
      </c>
      <c r="D24" s="18">
        <f t="shared" si="8"/>
        <v>2202.876715463337</v>
      </c>
      <c r="E24" s="18">
        <f t="shared" si="1"/>
        <v>2257.0369256857548</v>
      </c>
      <c r="F24" s="18">
        <f t="shared" si="2"/>
        <v>1803.2786885245901</v>
      </c>
      <c r="G24" s="19">
        <f t="shared" si="3"/>
        <v>59000</v>
      </c>
      <c r="H24" s="19">
        <f t="shared" si="4"/>
        <v>50246.568890806586</v>
      </c>
      <c r="I24" s="19">
        <f t="shared" si="5"/>
        <v>49828.430590139353</v>
      </c>
      <c r="J24" s="19">
        <f t="shared" si="6"/>
        <v>53688.524590163935</v>
      </c>
    </row>
    <row r="25" spans="1:10" ht="15.95" customHeight="1" x14ac:dyDescent="0.25">
      <c r="A25" s="43">
        <v>42064</v>
      </c>
      <c r="B25">
        <v>7</v>
      </c>
      <c r="C25" s="18">
        <f t="shared" si="0"/>
        <v>1000</v>
      </c>
      <c r="D25" s="18">
        <f t="shared" si="8"/>
        <v>2110.3558934138769</v>
      </c>
      <c r="E25" s="18">
        <f t="shared" si="1"/>
        <v>2159.2319922393717</v>
      </c>
      <c r="F25" s="18">
        <f t="shared" si="2"/>
        <v>1770.4918032786886</v>
      </c>
      <c r="G25" s="19">
        <f t="shared" si="3"/>
        <v>58000</v>
      </c>
      <c r="H25" s="19">
        <f t="shared" si="4"/>
        <v>48136.212997392708</v>
      </c>
      <c r="I25" s="19">
        <f t="shared" si="5"/>
        <v>47669.19859789998</v>
      </c>
      <c r="J25" s="19">
        <f t="shared" si="6"/>
        <v>51918.032786885247</v>
      </c>
    </row>
    <row r="26" spans="1:10" ht="15.95" customHeight="1" x14ac:dyDescent="0.25">
      <c r="A26" s="43">
        <v>42095</v>
      </c>
      <c r="B26">
        <v>8</v>
      </c>
      <c r="C26" s="18">
        <f t="shared" si="0"/>
        <v>1000</v>
      </c>
      <c r="D26" s="18">
        <f t="shared" si="8"/>
        <v>2021.7209458904938</v>
      </c>
      <c r="E26" s="18">
        <f t="shared" si="1"/>
        <v>2065.6652725756658</v>
      </c>
      <c r="F26" s="18">
        <f t="shared" si="2"/>
        <v>1737.704918032787</v>
      </c>
      <c r="G26" s="19">
        <f t="shared" si="3"/>
        <v>57000</v>
      </c>
      <c r="H26" s="19">
        <f t="shared" si="4"/>
        <v>46114.492051502217</v>
      </c>
      <c r="I26" s="19">
        <f t="shared" si="5"/>
        <v>45603.533325324315</v>
      </c>
      <c r="J26" s="19">
        <f t="shared" si="6"/>
        <v>50180.327868852459</v>
      </c>
    </row>
    <row r="27" spans="1:10" ht="15.95" customHeight="1" x14ac:dyDescent="0.25">
      <c r="A27" s="43">
        <v>42125</v>
      </c>
      <c r="B27">
        <v>9</v>
      </c>
      <c r="C27" s="18">
        <f t="shared" si="0"/>
        <v>1000</v>
      </c>
      <c r="D27" s="18">
        <f t="shared" si="8"/>
        <v>1936.8086661630932</v>
      </c>
      <c r="E27" s="18">
        <f t="shared" si="1"/>
        <v>1976.1531107640535</v>
      </c>
      <c r="F27" s="18">
        <f t="shared" si="2"/>
        <v>1704.9180327868853</v>
      </c>
      <c r="G27" s="19">
        <f t="shared" si="3"/>
        <v>56000</v>
      </c>
      <c r="H27" s="19">
        <f t="shared" si="4"/>
        <v>44177.683385339122</v>
      </c>
      <c r="I27" s="19">
        <f t="shared" si="5"/>
        <v>43627.38021456026</v>
      </c>
      <c r="J27" s="19">
        <f t="shared" si="6"/>
        <v>48475.409836065577</v>
      </c>
    </row>
    <row r="28" spans="1:10" ht="15.95" customHeight="1" x14ac:dyDescent="0.25">
      <c r="A28" s="43">
        <v>42156</v>
      </c>
      <c r="B28">
        <v>10</v>
      </c>
      <c r="C28" s="18">
        <f t="shared" si="0"/>
        <v>1000</v>
      </c>
      <c r="D28" s="18">
        <f t="shared" si="8"/>
        <v>1855.4627021842432</v>
      </c>
      <c r="E28" s="18">
        <f t="shared" si="1"/>
        <v>1890.5198092976111</v>
      </c>
      <c r="F28" s="18">
        <f t="shared" si="2"/>
        <v>1672.1311475409836</v>
      </c>
      <c r="G28" s="19">
        <f t="shared" si="3"/>
        <v>55000</v>
      </c>
      <c r="H28" s="19">
        <f t="shared" si="4"/>
        <v>42322.220683154876</v>
      </c>
      <c r="I28" s="19">
        <f t="shared" si="5"/>
        <v>41736.860405262647</v>
      </c>
      <c r="J28" s="19">
        <f t="shared" si="6"/>
        <v>46803.278688524595</v>
      </c>
    </row>
    <row r="29" spans="1:10" ht="15.95" customHeight="1" x14ac:dyDescent="0.25">
      <c r="A29" s="43">
        <v>42186</v>
      </c>
      <c r="B29">
        <v>11</v>
      </c>
      <c r="C29" s="18">
        <f t="shared" si="0"/>
        <v>1000</v>
      </c>
      <c r="D29" s="18">
        <f t="shared" si="8"/>
        <v>1777.5332686925049</v>
      </c>
      <c r="E29" s="18">
        <f t="shared" si="1"/>
        <v>1808.5972842280478</v>
      </c>
      <c r="F29" s="18">
        <f t="shared" si="2"/>
        <v>1639.344262295082</v>
      </c>
      <c r="G29" s="19">
        <f t="shared" si="3"/>
        <v>54000</v>
      </c>
      <c r="H29" s="19">
        <f t="shared" si="4"/>
        <v>40544.687414462373</v>
      </c>
      <c r="I29" s="19">
        <f t="shared" si="5"/>
        <v>39928.263121034601</v>
      </c>
      <c r="J29" s="19">
        <f t="shared" si="6"/>
        <v>45163.934426229513</v>
      </c>
    </row>
    <row r="30" spans="1:10" ht="15.95" customHeight="1" x14ac:dyDescent="0.25">
      <c r="A30" s="43">
        <v>42217</v>
      </c>
      <c r="B30">
        <v>12</v>
      </c>
      <c r="C30" s="18">
        <f t="shared" si="0"/>
        <v>1000</v>
      </c>
      <c r="D30" s="18">
        <f t="shared" si="8"/>
        <v>1702.8768714074197</v>
      </c>
      <c r="E30" s="18">
        <f t="shared" si="1"/>
        <v>1730.2247352448323</v>
      </c>
      <c r="F30" s="18">
        <f t="shared" si="2"/>
        <v>1606.5573770491803</v>
      </c>
      <c r="G30" s="19">
        <f t="shared" si="3"/>
        <v>53000</v>
      </c>
      <c r="H30" s="19">
        <f t="shared" si="4"/>
        <v>38841.810543054955</v>
      </c>
      <c r="I30" s="19">
        <f t="shared" si="5"/>
        <v>38198.038385789769</v>
      </c>
      <c r="J30" s="19">
        <f t="shared" si="6"/>
        <v>43557.37704918033</v>
      </c>
    </row>
    <row r="31" spans="1:10" ht="15.95" customHeight="1" x14ac:dyDescent="0.25">
      <c r="A31" s="43">
        <v>42248</v>
      </c>
      <c r="B31">
        <v>13</v>
      </c>
      <c r="C31" s="18">
        <f t="shared" si="0"/>
        <v>1000</v>
      </c>
      <c r="D31" s="18">
        <f t="shared" si="8"/>
        <v>1631.3560428083083</v>
      </c>
      <c r="E31" s="18">
        <f t="shared" si="1"/>
        <v>1655.2483300508893</v>
      </c>
      <c r="F31" s="18">
        <f t="shared" si="2"/>
        <v>1573.7704918032787</v>
      </c>
      <c r="G31" s="19">
        <f t="shared" si="3"/>
        <v>52000</v>
      </c>
      <c r="H31" s="19">
        <f t="shared" si="4"/>
        <v>37210.454500246648</v>
      </c>
      <c r="I31" s="19">
        <f t="shared" si="5"/>
        <v>36542.790055738878</v>
      </c>
      <c r="J31" s="19">
        <f t="shared" si="6"/>
        <v>41983.606557377054</v>
      </c>
    </row>
    <row r="32" spans="1:10" ht="15.95" customHeight="1" x14ac:dyDescent="0.25">
      <c r="A32" s="43">
        <v>42278</v>
      </c>
      <c r="B32">
        <v>14</v>
      </c>
      <c r="C32" s="18">
        <f t="shared" si="0"/>
        <v>1000</v>
      </c>
      <c r="D32" s="18">
        <f t="shared" si="8"/>
        <v>1562.8390890103592</v>
      </c>
      <c r="E32" s="18">
        <f t="shared" si="1"/>
        <v>1583.5209024153512</v>
      </c>
      <c r="F32" s="18">
        <f t="shared" si="2"/>
        <v>1540.983606557377</v>
      </c>
      <c r="G32" s="19">
        <f t="shared" si="3"/>
        <v>51000</v>
      </c>
      <c r="H32" s="19">
        <f t="shared" si="4"/>
        <v>35647.615411236286</v>
      </c>
      <c r="I32" s="19">
        <f t="shared" si="5"/>
        <v>34959.269153323527</v>
      </c>
      <c r="J32" s="19">
        <f t="shared" si="6"/>
        <v>40442.622950819677</v>
      </c>
    </row>
    <row r="33" spans="1:10" ht="15.95" customHeight="1" x14ac:dyDescent="0.25">
      <c r="A33" s="43">
        <v>42309</v>
      </c>
      <c r="B33">
        <v>15</v>
      </c>
      <c r="C33" s="18">
        <f t="shared" si="0"/>
        <v>1000</v>
      </c>
      <c r="D33" s="18">
        <f t="shared" si="8"/>
        <v>1497.199847271924</v>
      </c>
      <c r="E33" s="18">
        <f t="shared" si="1"/>
        <v>1514.901663310686</v>
      </c>
      <c r="F33" s="18">
        <f t="shared" si="2"/>
        <v>1508.1967213114754</v>
      </c>
      <c r="G33" s="19">
        <f t="shared" si="3"/>
        <v>50000</v>
      </c>
      <c r="H33" s="19">
        <f t="shared" si="4"/>
        <v>34150.415563964365</v>
      </c>
      <c r="I33" s="19">
        <f t="shared" si="5"/>
        <v>33444.367490012839</v>
      </c>
      <c r="J33" s="19">
        <f t="shared" si="6"/>
        <v>38934.426229508201</v>
      </c>
    </row>
    <row r="34" spans="1:10" ht="15.95" customHeight="1" x14ac:dyDescent="0.25">
      <c r="A34" s="43">
        <v>42339</v>
      </c>
      <c r="B34">
        <v>16</v>
      </c>
      <c r="C34" s="18">
        <f t="shared" si="0"/>
        <v>1000</v>
      </c>
      <c r="D34" s="18">
        <f t="shared" si="8"/>
        <v>1434.3174536865033</v>
      </c>
      <c r="E34" s="18">
        <f t="shared" si="1"/>
        <v>1449.2559245672228</v>
      </c>
      <c r="F34" s="18">
        <f t="shared" si="2"/>
        <v>1475.4098360655737</v>
      </c>
      <c r="G34" s="19">
        <f t="shared" si="3"/>
        <v>49000</v>
      </c>
      <c r="H34" s="19">
        <f t="shared" si="4"/>
        <v>32716.098110277861</v>
      </c>
      <c r="I34" s="19">
        <f t="shared" si="5"/>
        <v>31995.111565445615</v>
      </c>
      <c r="J34" s="19">
        <f t="shared" si="6"/>
        <v>37459.016393442624</v>
      </c>
    </row>
    <row r="35" spans="1:10" ht="15.95" customHeight="1" x14ac:dyDescent="0.25">
      <c r="A35" s="44" t="s">
        <v>131</v>
      </c>
      <c r="C35" s="45">
        <f>SUM(C23:C34)</f>
        <v>12000</v>
      </c>
      <c r="D35" s="45">
        <f t="shared" ref="D35:F35" si="9">SUM(D23:D34)</f>
        <v>22032.801269962143</v>
      </c>
      <c r="E35" s="45">
        <f t="shared" si="9"/>
        <v>22449.627998134634</v>
      </c>
      <c r="F35" s="45">
        <f t="shared" si="9"/>
        <v>19868.852459016394</v>
      </c>
      <c r="G35" s="19"/>
      <c r="H35" s="19"/>
      <c r="I35" s="19"/>
      <c r="J35" s="19"/>
    </row>
    <row r="36" spans="1:10" x14ac:dyDescent="0.25">
      <c r="A36" s="43">
        <v>42370</v>
      </c>
      <c r="B36">
        <v>17</v>
      </c>
      <c r="C36" s="18">
        <f t="shared" si="0"/>
        <v>1000</v>
      </c>
      <c r="D36" s="18">
        <f t="shared" ref="D36:D47" si="10">DB($C$8,$C$11,$C$10,B36)</f>
        <v>1374.0761206316702</v>
      </c>
      <c r="E36" s="18">
        <f t="shared" si="1"/>
        <v>1386.4548345026428</v>
      </c>
      <c r="F36" s="18">
        <f t="shared" si="2"/>
        <v>1442.622950819672</v>
      </c>
      <c r="G36" s="19">
        <f>G34-C36</f>
        <v>48000</v>
      </c>
      <c r="H36" s="19">
        <f>H34-D36</f>
        <v>31342.021989646189</v>
      </c>
      <c r="I36" s="19">
        <f>I34-E36</f>
        <v>30608.656730942974</v>
      </c>
      <c r="J36" s="19">
        <f>J34-F36</f>
        <v>36016.393442622953</v>
      </c>
    </row>
    <row r="37" spans="1:10" x14ac:dyDescent="0.25">
      <c r="A37" s="43">
        <v>42401</v>
      </c>
      <c r="B37">
        <v>18</v>
      </c>
      <c r="C37" s="18">
        <f t="shared" si="0"/>
        <v>1000</v>
      </c>
      <c r="D37" s="18">
        <f t="shared" si="10"/>
        <v>1316.3649235651401</v>
      </c>
      <c r="E37" s="18">
        <f t="shared" si="1"/>
        <v>1326.3751250075284</v>
      </c>
      <c r="F37" s="18">
        <f t="shared" si="2"/>
        <v>1409.8360655737704</v>
      </c>
      <c r="G37" s="19">
        <f t="shared" si="3"/>
        <v>47000</v>
      </c>
      <c r="H37" s="19">
        <f t="shared" si="4"/>
        <v>30025.65706608105</v>
      </c>
      <c r="I37" s="19">
        <f t="shared" si="5"/>
        <v>29282.281605935445</v>
      </c>
      <c r="J37" s="19">
        <f t="shared" si="6"/>
        <v>34606.557377049183</v>
      </c>
    </row>
    <row r="38" spans="1:10" x14ac:dyDescent="0.25">
      <c r="A38" s="43">
        <v>42430</v>
      </c>
      <c r="B38">
        <v>19</v>
      </c>
      <c r="C38" s="18">
        <f t="shared" si="0"/>
        <v>1000</v>
      </c>
      <c r="D38" s="18">
        <f t="shared" si="10"/>
        <v>1261.0775967754041</v>
      </c>
      <c r="E38" s="18">
        <f t="shared" si="1"/>
        <v>1268.8988695905355</v>
      </c>
      <c r="F38" s="18">
        <f t="shared" si="2"/>
        <v>1377.049180327869</v>
      </c>
      <c r="G38" s="19">
        <f t="shared" si="3"/>
        <v>46000</v>
      </c>
      <c r="H38" s="19">
        <f t="shared" si="4"/>
        <v>28764.579469305645</v>
      </c>
      <c r="I38" s="19">
        <f t="shared" si="5"/>
        <v>28013.382736344909</v>
      </c>
      <c r="J38" s="19">
        <f t="shared" si="6"/>
        <v>33229.508196721312</v>
      </c>
    </row>
    <row r="39" spans="1:10" x14ac:dyDescent="0.25">
      <c r="A39" s="43">
        <v>42461</v>
      </c>
      <c r="B39">
        <v>20</v>
      </c>
      <c r="C39" s="18">
        <f t="shared" si="0"/>
        <v>1000</v>
      </c>
      <c r="D39" s="18">
        <f t="shared" si="10"/>
        <v>1208.1123377108372</v>
      </c>
      <c r="E39" s="18">
        <f t="shared" si="1"/>
        <v>1213.9132519082789</v>
      </c>
      <c r="F39" s="18">
        <f t="shared" si="2"/>
        <v>1344.2622950819673</v>
      </c>
      <c r="G39" s="19">
        <f t="shared" si="3"/>
        <v>45000</v>
      </c>
      <c r="H39" s="19">
        <f t="shared" si="4"/>
        <v>27556.467131594807</v>
      </c>
      <c r="I39" s="19">
        <f t="shared" si="5"/>
        <v>26799.469484436631</v>
      </c>
      <c r="J39" s="19">
        <f t="shared" si="6"/>
        <v>31885.245901639344</v>
      </c>
    </row>
    <row r="40" spans="1:10" x14ac:dyDescent="0.25">
      <c r="A40" s="43">
        <v>42491</v>
      </c>
      <c r="B40">
        <v>21</v>
      </c>
      <c r="C40" s="18">
        <f t="shared" si="0"/>
        <v>1000</v>
      </c>
      <c r="D40" s="18">
        <f t="shared" si="10"/>
        <v>1157.3716195269819</v>
      </c>
      <c r="E40" s="18">
        <f t="shared" si="1"/>
        <v>1161.3103443255868</v>
      </c>
      <c r="F40" s="18">
        <f t="shared" si="2"/>
        <v>1311.4754098360656</v>
      </c>
      <c r="G40" s="19">
        <f t="shared" si="3"/>
        <v>44000</v>
      </c>
      <c r="H40" s="19">
        <f t="shared" si="4"/>
        <v>26399.095512067826</v>
      </c>
      <c r="I40" s="19">
        <f t="shared" si="5"/>
        <v>25638.159140111045</v>
      </c>
      <c r="J40" s="19">
        <f t="shared" si="6"/>
        <v>30573.77049180328</v>
      </c>
    </row>
    <row r="41" spans="1:10" x14ac:dyDescent="0.25">
      <c r="A41" s="43">
        <v>42522</v>
      </c>
      <c r="B41">
        <v>22</v>
      </c>
      <c r="C41" s="18">
        <f t="shared" si="0"/>
        <v>1000</v>
      </c>
      <c r="D41" s="18">
        <f t="shared" si="10"/>
        <v>1108.7620115068487</v>
      </c>
      <c r="E41" s="18">
        <f t="shared" si="1"/>
        <v>1110.9868960714782</v>
      </c>
      <c r="F41" s="18">
        <f t="shared" si="2"/>
        <v>1278.688524590164</v>
      </c>
      <c r="G41" s="19">
        <f t="shared" si="3"/>
        <v>43000</v>
      </c>
      <c r="H41" s="19">
        <f t="shared" si="4"/>
        <v>25290.333500560977</v>
      </c>
      <c r="I41" s="19">
        <f t="shared" si="5"/>
        <v>24527.172244039568</v>
      </c>
      <c r="J41" s="19">
        <f t="shared" si="6"/>
        <v>29295.081967213115</v>
      </c>
    </row>
    <row r="42" spans="1:10" x14ac:dyDescent="0.25">
      <c r="A42" s="43">
        <v>42552</v>
      </c>
      <c r="B42">
        <v>23</v>
      </c>
      <c r="C42" s="18">
        <f t="shared" si="0"/>
        <v>1000</v>
      </c>
      <c r="D42" s="18">
        <f t="shared" si="10"/>
        <v>1062.1940070235612</v>
      </c>
      <c r="E42" s="18">
        <f t="shared" si="1"/>
        <v>1062.8441305750473</v>
      </c>
      <c r="F42" s="18">
        <f t="shared" si="2"/>
        <v>1245.9016393442623</v>
      </c>
      <c r="G42" s="19">
        <f t="shared" si="3"/>
        <v>42000</v>
      </c>
      <c r="H42" s="19">
        <f t="shared" si="4"/>
        <v>24228.139493537416</v>
      </c>
      <c r="I42" s="19">
        <f t="shared" si="5"/>
        <v>23464.328113464522</v>
      </c>
      <c r="J42" s="19">
        <f t="shared" si="6"/>
        <v>28049.180327868853</v>
      </c>
    </row>
    <row r="43" spans="1:10" x14ac:dyDescent="0.25">
      <c r="A43" s="43">
        <v>42583</v>
      </c>
      <c r="B43">
        <v>24</v>
      </c>
      <c r="C43" s="18">
        <f t="shared" si="0"/>
        <v>1000</v>
      </c>
      <c r="D43" s="18">
        <f t="shared" si="10"/>
        <v>1017.5818587285715</v>
      </c>
      <c r="E43" s="18">
        <f t="shared" si="1"/>
        <v>1016.787551583462</v>
      </c>
      <c r="F43" s="18">
        <f t="shared" si="2"/>
        <v>1213.1147540983607</v>
      </c>
      <c r="G43" s="19">
        <f t="shared" si="3"/>
        <v>41000</v>
      </c>
      <c r="H43" s="19">
        <f t="shared" si="4"/>
        <v>23210.557634808843</v>
      </c>
      <c r="I43" s="19">
        <f t="shared" si="5"/>
        <v>22447.540561881062</v>
      </c>
      <c r="J43" s="19">
        <f t="shared" si="6"/>
        <v>26836.065573770491</v>
      </c>
    </row>
    <row r="44" spans="1:10" x14ac:dyDescent="0.25">
      <c r="A44" s="43">
        <v>42614</v>
      </c>
      <c r="B44">
        <v>25</v>
      </c>
      <c r="C44" s="18">
        <f t="shared" si="0"/>
        <v>1000</v>
      </c>
      <c r="D44" s="18">
        <f t="shared" si="10"/>
        <v>974.84342066197144</v>
      </c>
      <c r="E44" s="18">
        <f t="shared" si="1"/>
        <v>972.7267576815118</v>
      </c>
      <c r="F44" s="18">
        <f t="shared" si="2"/>
        <v>1180.327868852459</v>
      </c>
      <c r="G44" s="19">
        <f t="shared" si="3"/>
        <v>40000</v>
      </c>
      <c r="H44" s="19">
        <f t="shared" si="4"/>
        <v>22235.714214146872</v>
      </c>
      <c r="I44" s="19">
        <f t="shared" si="5"/>
        <v>21474.813804199552</v>
      </c>
      <c r="J44" s="19">
        <f t="shared" si="6"/>
        <v>25655.737704918032</v>
      </c>
    </row>
    <row r="45" spans="1:10" x14ac:dyDescent="0.25">
      <c r="A45" s="43">
        <v>42644</v>
      </c>
      <c r="B45">
        <v>26</v>
      </c>
      <c r="C45" s="18">
        <f t="shared" si="0"/>
        <v>1000</v>
      </c>
      <c r="D45" s="18">
        <f t="shared" si="10"/>
        <v>933.89999699416865</v>
      </c>
      <c r="E45" s="18">
        <f t="shared" si="1"/>
        <v>930.57526484864627</v>
      </c>
      <c r="F45" s="18">
        <f t="shared" si="2"/>
        <v>1147.5409836065573</v>
      </c>
      <c r="G45" s="19">
        <f t="shared" si="3"/>
        <v>39000</v>
      </c>
      <c r="H45" s="19">
        <f t="shared" si="4"/>
        <v>21301.814217152703</v>
      </c>
      <c r="I45" s="19">
        <f t="shared" si="5"/>
        <v>20544.238539350907</v>
      </c>
      <c r="J45" s="19">
        <f t="shared" si="6"/>
        <v>24508.196721311477</v>
      </c>
    </row>
    <row r="46" spans="1:10" x14ac:dyDescent="0.25">
      <c r="A46" s="43">
        <v>42675</v>
      </c>
      <c r="B46">
        <v>27</v>
      </c>
      <c r="C46" s="18">
        <f t="shared" si="0"/>
        <v>1000</v>
      </c>
      <c r="D46" s="18">
        <f t="shared" si="10"/>
        <v>894.67619712041358</v>
      </c>
      <c r="E46" s="18">
        <f t="shared" si="1"/>
        <v>890.25033670520509</v>
      </c>
      <c r="F46" s="18">
        <f t="shared" si="2"/>
        <v>1114.7540983606557</v>
      </c>
      <c r="G46" s="19">
        <f t="shared" si="3"/>
        <v>38000</v>
      </c>
      <c r="H46" s="19">
        <f t="shared" si="4"/>
        <v>20407.138020032289</v>
      </c>
      <c r="I46" s="19">
        <f t="shared" si="5"/>
        <v>19653.988202645702</v>
      </c>
      <c r="J46" s="19">
        <f t="shared" si="6"/>
        <v>23393.442622950821</v>
      </c>
    </row>
    <row r="47" spans="1:10" x14ac:dyDescent="0.25">
      <c r="A47" s="43">
        <v>42705</v>
      </c>
      <c r="B47">
        <v>28</v>
      </c>
      <c r="C47" s="18">
        <f t="shared" si="0"/>
        <v>1000</v>
      </c>
      <c r="D47" s="18">
        <f t="shared" si="10"/>
        <v>857.09979684135624</v>
      </c>
      <c r="E47" s="18">
        <f t="shared" si="1"/>
        <v>851.67282211464601</v>
      </c>
      <c r="F47" s="18">
        <f t="shared" si="2"/>
        <v>1081.967213114754</v>
      </c>
      <c r="G47" s="19">
        <f t="shared" si="3"/>
        <v>37000</v>
      </c>
      <c r="H47" s="19">
        <f t="shared" si="4"/>
        <v>19550.038223190932</v>
      </c>
      <c r="I47" s="19">
        <f t="shared" si="5"/>
        <v>18802.315380531054</v>
      </c>
      <c r="J47" s="19">
        <f t="shared" si="6"/>
        <v>22311.475409836068</v>
      </c>
    </row>
    <row r="48" spans="1:10" x14ac:dyDescent="0.25">
      <c r="A48" s="44" t="s">
        <v>132</v>
      </c>
      <c r="C48" s="45">
        <f>SUM(C36:C47)</f>
        <v>12000</v>
      </c>
      <c r="D48" s="45">
        <f t="shared" ref="D48:F48" si="11">SUM(D36:D47)</f>
        <v>13166.059887086925</v>
      </c>
      <c r="E48" s="45">
        <f t="shared" si="11"/>
        <v>13192.79618491457</v>
      </c>
      <c r="F48" s="45">
        <f t="shared" si="11"/>
        <v>15147.540983606557</v>
      </c>
      <c r="G48" s="19"/>
      <c r="H48" s="19"/>
      <c r="I48" s="19"/>
      <c r="J48" s="19"/>
    </row>
    <row r="49" spans="1:10" x14ac:dyDescent="0.25">
      <c r="A49" s="43">
        <v>42736</v>
      </c>
      <c r="B49">
        <v>29</v>
      </c>
      <c r="C49" s="18">
        <f t="shared" si="0"/>
        <v>1000</v>
      </c>
      <c r="D49" s="18">
        <f t="shared" ref="D49:D60" si="12">DB($C$8,$C$11,$C$10,B49)</f>
        <v>821.10160537401919</v>
      </c>
      <c r="E49" s="18">
        <f t="shared" si="1"/>
        <v>814.76699982301125</v>
      </c>
      <c r="F49" s="18">
        <f t="shared" si="2"/>
        <v>1049.1803278688524</v>
      </c>
      <c r="G49" s="19">
        <f>G47-C49</f>
        <v>36000</v>
      </c>
      <c r="H49" s="19">
        <f>H47-D49</f>
        <v>18728.936617816911</v>
      </c>
      <c r="I49" s="19">
        <f>I47-E49</f>
        <v>17987.548380708042</v>
      </c>
      <c r="J49" s="19">
        <f>J47-F49</f>
        <v>21262.295081967215</v>
      </c>
    </row>
    <row r="50" spans="1:10" x14ac:dyDescent="0.25">
      <c r="A50" s="43">
        <v>42767</v>
      </c>
      <c r="B50">
        <v>30</v>
      </c>
      <c r="C50" s="18">
        <f t="shared" si="0"/>
        <v>1000</v>
      </c>
      <c r="D50" s="18">
        <f t="shared" si="12"/>
        <v>786.6153379483103</v>
      </c>
      <c r="E50" s="18">
        <f t="shared" si="1"/>
        <v>779.46042983068094</v>
      </c>
      <c r="F50" s="18">
        <f t="shared" si="2"/>
        <v>1016.3934426229508</v>
      </c>
      <c r="G50" s="19">
        <f t="shared" si="3"/>
        <v>35000</v>
      </c>
      <c r="H50" s="19">
        <f t="shared" si="4"/>
        <v>17942.3212798686</v>
      </c>
      <c r="I50" s="19">
        <f t="shared" si="5"/>
        <v>17208.087950877361</v>
      </c>
      <c r="J50" s="19">
        <f t="shared" si="6"/>
        <v>20245.901639344265</v>
      </c>
    </row>
    <row r="51" spans="1:10" x14ac:dyDescent="0.25">
      <c r="A51" s="43">
        <v>42795</v>
      </c>
      <c r="B51">
        <v>31</v>
      </c>
      <c r="C51" s="18">
        <f t="shared" si="0"/>
        <v>1000</v>
      </c>
      <c r="D51" s="18">
        <f t="shared" si="12"/>
        <v>753.57749375448122</v>
      </c>
      <c r="E51" s="18">
        <f t="shared" si="1"/>
        <v>745.68381120468473</v>
      </c>
      <c r="F51" s="18">
        <f t="shared" si="2"/>
        <v>983.60655737704917</v>
      </c>
      <c r="G51" s="19">
        <f t="shared" si="3"/>
        <v>34000</v>
      </c>
      <c r="H51" s="19">
        <f t="shared" si="4"/>
        <v>17188.743786114119</v>
      </c>
      <c r="I51" s="19">
        <f t="shared" si="5"/>
        <v>16462.404139672675</v>
      </c>
      <c r="J51" s="19">
        <f t="shared" si="6"/>
        <v>19262.295081967215</v>
      </c>
    </row>
    <row r="52" spans="1:10" x14ac:dyDescent="0.25">
      <c r="A52" s="43">
        <v>42826</v>
      </c>
      <c r="B52">
        <v>32</v>
      </c>
      <c r="C52" s="18">
        <f t="shared" si="0"/>
        <v>1000</v>
      </c>
      <c r="D52" s="18">
        <f t="shared" si="12"/>
        <v>721.92723901679301</v>
      </c>
      <c r="E52" s="18">
        <f t="shared" si="1"/>
        <v>713.37084605248185</v>
      </c>
      <c r="F52" s="18">
        <f t="shared" si="2"/>
        <v>950.81967213114751</v>
      </c>
      <c r="G52" s="19">
        <f t="shared" si="3"/>
        <v>33000</v>
      </c>
      <c r="H52" s="19">
        <f t="shared" si="4"/>
        <v>16466.816547097325</v>
      </c>
      <c r="I52" s="19">
        <f t="shared" si="5"/>
        <v>15749.033293620194</v>
      </c>
      <c r="J52" s="19">
        <f t="shared" si="6"/>
        <v>18311.475409836068</v>
      </c>
    </row>
    <row r="53" spans="1:10" x14ac:dyDescent="0.25">
      <c r="A53" s="43">
        <v>42856</v>
      </c>
      <c r="B53">
        <v>33</v>
      </c>
      <c r="C53" s="18">
        <f t="shared" si="0"/>
        <v>1000</v>
      </c>
      <c r="D53" s="18">
        <f t="shared" si="12"/>
        <v>691.6062949780877</v>
      </c>
      <c r="E53" s="18">
        <f t="shared" si="1"/>
        <v>682.45810939020748</v>
      </c>
      <c r="F53" s="18">
        <f t="shared" si="2"/>
        <v>918.03278688524586</v>
      </c>
      <c r="G53" s="19">
        <f t="shared" si="3"/>
        <v>32000</v>
      </c>
      <c r="H53" s="19">
        <f>H52-D53</f>
        <v>15775.210252119237</v>
      </c>
      <c r="I53" s="19">
        <f t="shared" si="5"/>
        <v>15066.575184229987</v>
      </c>
      <c r="J53" s="19">
        <f t="shared" si="6"/>
        <v>17393.442622950821</v>
      </c>
    </row>
    <row r="54" spans="1:10" x14ac:dyDescent="0.25">
      <c r="A54" s="43">
        <v>42887</v>
      </c>
      <c r="B54">
        <v>34</v>
      </c>
      <c r="C54" s="18">
        <f t="shared" si="0"/>
        <v>1000</v>
      </c>
      <c r="D54" s="18">
        <f t="shared" si="12"/>
        <v>662.55883058900804</v>
      </c>
      <c r="E54" s="18">
        <f t="shared" si="1"/>
        <v>652.88492464996523</v>
      </c>
      <c r="F54" s="18">
        <f t="shared" si="2"/>
        <v>885.24590163934431</v>
      </c>
      <c r="G54" s="19">
        <f t="shared" si="3"/>
        <v>31000</v>
      </c>
      <c r="H54" s="19">
        <f t="shared" si="4"/>
        <v>15112.651421530229</v>
      </c>
      <c r="I54" s="19">
        <f t="shared" si="5"/>
        <v>14413.690259580022</v>
      </c>
      <c r="J54" s="19">
        <f t="shared" si="6"/>
        <v>16508.196721311477</v>
      </c>
    </row>
    <row r="55" spans="1:10" x14ac:dyDescent="0.25">
      <c r="A55" s="43">
        <v>42917</v>
      </c>
      <c r="B55">
        <v>35</v>
      </c>
      <c r="C55" s="18">
        <f t="shared" si="0"/>
        <v>1000</v>
      </c>
      <c r="D55" s="18">
        <f t="shared" si="12"/>
        <v>634.73135970426961</v>
      </c>
      <c r="E55" s="18">
        <f t="shared" si="1"/>
        <v>624.59324458180004</v>
      </c>
      <c r="F55" s="18">
        <f t="shared" si="2"/>
        <v>852.45901639344265</v>
      </c>
      <c r="G55" s="19">
        <f t="shared" si="3"/>
        <v>30000</v>
      </c>
      <c r="H55" s="19">
        <f t="shared" si="4"/>
        <v>14477.920061825958</v>
      </c>
      <c r="I55" s="19">
        <f t="shared" si="5"/>
        <v>13789.097014998222</v>
      </c>
      <c r="J55" s="19">
        <f t="shared" si="6"/>
        <v>15655.737704918034</v>
      </c>
    </row>
    <row r="56" spans="1:10" x14ac:dyDescent="0.25">
      <c r="A56" s="43">
        <v>42948</v>
      </c>
      <c r="B56">
        <v>36</v>
      </c>
      <c r="C56" s="18">
        <f t="shared" si="0"/>
        <v>1000</v>
      </c>
      <c r="D56" s="18">
        <f t="shared" si="12"/>
        <v>608.07264259669034</v>
      </c>
      <c r="E56" s="18">
        <f t="shared" si="1"/>
        <v>597.52753731658868</v>
      </c>
      <c r="F56" s="18">
        <f t="shared" si="2"/>
        <v>819.67213114754099</v>
      </c>
      <c r="G56" s="19">
        <f t="shared" si="3"/>
        <v>29000</v>
      </c>
      <c r="H56" s="19">
        <f t="shared" si="4"/>
        <v>13869.847419229269</v>
      </c>
      <c r="I56" s="19">
        <f t="shared" si="5"/>
        <v>13191.569477681634</v>
      </c>
      <c r="J56" s="19">
        <f t="shared" si="6"/>
        <v>14836.065573770493</v>
      </c>
    </row>
    <row r="57" spans="1:10" x14ac:dyDescent="0.25">
      <c r="A57" s="43">
        <v>42979</v>
      </c>
      <c r="B57">
        <v>37</v>
      </c>
      <c r="C57" s="18">
        <f t="shared" si="0"/>
        <v>1000</v>
      </c>
      <c r="D57" s="18">
        <f t="shared" si="12"/>
        <v>582.53359160762932</v>
      </c>
      <c r="E57" s="18">
        <f t="shared" si="1"/>
        <v>571.63467736620316</v>
      </c>
      <c r="F57" s="18">
        <f t="shared" si="2"/>
        <v>786.88524590163934</v>
      </c>
      <c r="G57" s="19">
        <f t="shared" si="3"/>
        <v>28000</v>
      </c>
      <c r="H57" s="19">
        <f t="shared" si="4"/>
        <v>13287.31382762164</v>
      </c>
      <c r="I57" s="19">
        <f t="shared" si="5"/>
        <v>12619.934800315432</v>
      </c>
      <c r="J57" s="19">
        <f t="shared" si="6"/>
        <v>14049.180327868853</v>
      </c>
    </row>
    <row r="58" spans="1:10" x14ac:dyDescent="0.25">
      <c r="A58" s="43">
        <v>43009</v>
      </c>
      <c r="B58">
        <v>38</v>
      </c>
      <c r="C58" s="18">
        <f t="shared" si="0"/>
        <v>1000</v>
      </c>
      <c r="D58" s="18">
        <f t="shared" si="12"/>
        <v>558.06718076010884</v>
      </c>
      <c r="E58" s="18">
        <f t="shared" si="1"/>
        <v>546.86384134700097</v>
      </c>
      <c r="F58" s="18">
        <f t="shared" si="2"/>
        <v>754.09836065573768</v>
      </c>
      <c r="G58" s="19">
        <f t="shared" si="3"/>
        <v>27000</v>
      </c>
      <c r="H58" s="19">
        <f t="shared" si="4"/>
        <v>12729.246646861531</v>
      </c>
      <c r="I58" s="19">
        <f t="shared" si="5"/>
        <v>12073.07095896843</v>
      </c>
      <c r="J58" s="19">
        <f t="shared" si="6"/>
        <v>13295.081967213115</v>
      </c>
    </row>
    <row r="59" spans="1:10" x14ac:dyDescent="0.25">
      <c r="A59" s="43">
        <v>43040</v>
      </c>
      <c r="B59">
        <v>39</v>
      </c>
      <c r="C59" s="18">
        <f t="shared" si="0"/>
        <v>1000</v>
      </c>
      <c r="D59" s="18">
        <f t="shared" si="12"/>
        <v>534.62835916818437</v>
      </c>
      <c r="E59" s="18">
        <f t="shared" si="1"/>
        <v>523.16640822196428</v>
      </c>
      <c r="F59" s="18">
        <f t="shared" si="2"/>
        <v>721.31147540983602</v>
      </c>
      <c r="G59" s="19">
        <f t="shared" si="3"/>
        <v>26000</v>
      </c>
      <c r="H59" s="19">
        <f t="shared" si="4"/>
        <v>12194.618287693347</v>
      </c>
      <c r="I59" s="19">
        <f t="shared" si="5"/>
        <v>11549.904550746465</v>
      </c>
      <c r="J59" s="19">
        <f t="shared" si="6"/>
        <v>12573.77049180328</v>
      </c>
    </row>
    <row r="60" spans="1:10" x14ac:dyDescent="0.25">
      <c r="A60" s="43">
        <v>43070</v>
      </c>
      <c r="B60">
        <v>40</v>
      </c>
      <c r="C60" s="18">
        <f t="shared" si="0"/>
        <v>1000</v>
      </c>
      <c r="D60" s="18">
        <f t="shared" si="12"/>
        <v>512.1739680831206</v>
      </c>
      <c r="E60" s="18">
        <f t="shared" si="1"/>
        <v>500.49586386567915</v>
      </c>
      <c r="F60" s="18">
        <f t="shared" si="2"/>
        <v>688.52459016393448</v>
      </c>
      <c r="G60" s="19">
        <f t="shared" si="3"/>
        <v>25000</v>
      </c>
      <c r="H60" s="19">
        <f t="shared" si="4"/>
        <v>11682.444319610226</v>
      </c>
      <c r="I60" s="19">
        <f t="shared" si="5"/>
        <v>11049.408686880786</v>
      </c>
      <c r="J60" s="19">
        <f t="shared" si="6"/>
        <v>11885.245901639346</v>
      </c>
    </row>
    <row r="61" spans="1:10" x14ac:dyDescent="0.25">
      <c r="A61" s="44" t="s">
        <v>133</v>
      </c>
      <c r="C61" s="45">
        <f>SUM(C49:C60)</f>
        <v>12000</v>
      </c>
      <c r="D61" s="45">
        <f t="shared" ref="D61:F61" si="13">SUM(D49:D60)</f>
        <v>7867.5939035807014</v>
      </c>
      <c r="E61" s="45">
        <f t="shared" si="13"/>
        <v>7752.9066936502668</v>
      </c>
      <c r="F61" s="45">
        <f t="shared" si="13"/>
        <v>10426.229508196722</v>
      </c>
      <c r="G61" s="19"/>
      <c r="H61" s="19"/>
      <c r="I61" s="19"/>
      <c r="J61" s="19"/>
    </row>
    <row r="62" spans="1:10" x14ac:dyDescent="0.25">
      <c r="A62" s="43">
        <v>43101</v>
      </c>
      <c r="B62">
        <v>41</v>
      </c>
      <c r="C62" s="18">
        <f t="shared" si="0"/>
        <v>1000</v>
      </c>
      <c r="D62" s="18">
        <f t="shared" ref="D62:D73" si="14">DB($C$8,$C$11,$C$10,B62)</f>
        <v>490.66266142362952</v>
      </c>
      <c r="E62" s="18">
        <f t="shared" si="1"/>
        <v>478.80770976483296</v>
      </c>
      <c r="F62" s="18">
        <f t="shared" si="2"/>
        <v>655.73770491803282</v>
      </c>
      <c r="G62" s="19">
        <f>G60-C62</f>
        <v>24000</v>
      </c>
      <c r="H62" s="19">
        <f>H60-D62</f>
        <v>11191.781658186595</v>
      </c>
      <c r="I62" s="19">
        <f>I60-E62</f>
        <v>10570.600977115953</v>
      </c>
      <c r="J62" s="19">
        <f>J60-F62</f>
        <v>11229.508196721314</v>
      </c>
    </row>
    <row r="63" spans="1:10" x14ac:dyDescent="0.25">
      <c r="A63" s="43">
        <v>43132</v>
      </c>
      <c r="B63">
        <v>42</v>
      </c>
      <c r="C63" s="18">
        <f t="shared" si="0"/>
        <v>1000</v>
      </c>
      <c r="D63" s="18">
        <f t="shared" si="14"/>
        <v>470.05482964383702</v>
      </c>
      <c r="E63" s="18">
        <f t="shared" si="1"/>
        <v>458.05937567502366</v>
      </c>
      <c r="F63" s="18">
        <f t="shared" si="2"/>
        <v>622.95081967213116</v>
      </c>
      <c r="G63" s="19">
        <f t="shared" si="3"/>
        <v>23000</v>
      </c>
      <c r="H63" s="19">
        <f t="shared" si="4"/>
        <v>10721.726828542758</v>
      </c>
      <c r="I63" s="19">
        <f t="shared" si="5"/>
        <v>10112.541601440929</v>
      </c>
      <c r="J63" s="19">
        <f t="shared" si="6"/>
        <v>10606.557377049183</v>
      </c>
    </row>
    <row r="64" spans="1:10" x14ac:dyDescent="0.25">
      <c r="A64" s="43">
        <v>43160</v>
      </c>
      <c r="B64">
        <v>43</v>
      </c>
      <c r="C64" s="18">
        <f t="shared" si="0"/>
        <v>1000</v>
      </c>
      <c r="D64" s="18">
        <f t="shared" si="14"/>
        <v>450.31252679879589</v>
      </c>
      <c r="E64" s="18">
        <f t="shared" si="1"/>
        <v>438.21013606243923</v>
      </c>
      <c r="F64" s="18">
        <f t="shared" si="2"/>
        <v>590.1639344262295</v>
      </c>
      <c r="G64" s="19">
        <f t="shared" si="3"/>
        <v>22000</v>
      </c>
      <c r="H64" s="19">
        <f t="shared" si="4"/>
        <v>10271.414301743962</v>
      </c>
      <c r="I64" s="19">
        <f t="shared" si="5"/>
        <v>9674.331465378491</v>
      </c>
      <c r="J64" s="19">
        <f t="shared" si="6"/>
        <v>10016.393442622953</v>
      </c>
    </row>
    <row r="65" spans="1:10" x14ac:dyDescent="0.25">
      <c r="A65" s="43">
        <v>43191</v>
      </c>
      <c r="B65">
        <v>44</v>
      </c>
      <c r="C65" s="18">
        <f t="shared" si="0"/>
        <v>1000</v>
      </c>
      <c r="D65" s="18">
        <f t="shared" si="14"/>
        <v>431.39940067324642</v>
      </c>
      <c r="E65" s="18">
        <f t="shared" si="1"/>
        <v>419.22103016640017</v>
      </c>
      <c r="F65" s="18">
        <f t="shared" si="2"/>
        <v>557.37704918032784</v>
      </c>
      <c r="G65" s="19">
        <f t="shared" si="3"/>
        <v>21000</v>
      </c>
      <c r="H65" s="19">
        <f t="shared" si="4"/>
        <v>9840.0149010707155</v>
      </c>
      <c r="I65" s="19">
        <f t="shared" si="5"/>
        <v>9255.110435212091</v>
      </c>
      <c r="J65" s="19">
        <f t="shared" si="6"/>
        <v>9459.0163934426255</v>
      </c>
    </row>
    <row r="66" spans="1:10" x14ac:dyDescent="0.25">
      <c r="A66" s="43">
        <v>43221</v>
      </c>
      <c r="B66">
        <v>45</v>
      </c>
      <c r="C66" s="18">
        <f t="shared" si="0"/>
        <v>1000</v>
      </c>
      <c r="D66" s="18">
        <f t="shared" si="14"/>
        <v>413.28062584497007</v>
      </c>
      <c r="E66" s="18">
        <f t="shared" si="1"/>
        <v>401.05478552585612</v>
      </c>
      <c r="F66" s="18">
        <f t="shared" si="2"/>
        <v>524.59016393442619</v>
      </c>
      <c r="G66" s="19">
        <f t="shared" si="3"/>
        <v>20000</v>
      </c>
      <c r="H66" s="19">
        <f t="shared" si="4"/>
        <v>9426.7342752257446</v>
      </c>
      <c r="I66" s="19">
        <f t="shared" si="5"/>
        <v>8854.0556496862355</v>
      </c>
      <c r="J66" s="19">
        <f t="shared" si="6"/>
        <v>8934.426229508199</v>
      </c>
    </row>
    <row r="67" spans="1:10" x14ac:dyDescent="0.25">
      <c r="A67" s="43">
        <v>43252</v>
      </c>
      <c r="B67">
        <v>46</v>
      </c>
      <c r="C67" s="18">
        <f t="shared" si="0"/>
        <v>1000</v>
      </c>
      <c r="D67" s="18">
        <f t="shared" si="14"/>
        <v>395.9228395594813</v>
      </c>
      <c r="E67" s="18">
        <f t="shared" si="1"/>
        <v>383.67574481973577</v>
      </c>
      <c r="F67" s="18">
        <f t="shared" si="2"/>
        <v>491.80327868852459</v>
      </c>
      <c r="G67" s="19">
        <f t="shared" si="3"/>
        <v>19000</v>
      </c>
      <c r="H67" s="19">
        <f t="shared" si="4"/>
        <v>9030.8114356662627</v>
      </c>
      <c r="I67" s="19">
        <f t="shared" si="5"/>
        <v>8470.3799048665005</v>
      </c>
      <c r="J67" s="19">
        <f t="shared" si="6"/>
        <v>8442.6229508196739</v>
      </c>
    </row>
    <row r="68" spans="1:10" x14ac:dyDescent="0.25">
      <c r="A68" s="43">
        <v>43282</v>
      </c>
      <c r="B68">
        <v>47</v>
      </c>
      <c r="C68" s="18">
        <f t="shared" si="0"/>
        <v>1000</v>
      </c>
      <c r="D68" s="18">
        <f t="shared" si="14"/>
        <v>379.29408029798304</v>
      </c>
      <c r="E68" s="18">
        <f t="shared" si="1"/>
        <v>367.04979587754724</v>
      </c>
      <c r="F68" s="18">
        <f t="shared" si="2"/>
        <v>459.01639344262293</v>
      </c>
      <c r="G68" s="19">
        <f t="shared" si="3"/>
        <v>18000</v>
      </c>
      <c r="H68" s="19">
        <f>H67-D68</f>
        <v>8651.5173553682798</v>
      </c>
      <c r="I68" s="19">
        <f t="shared" si="5"/>
        <v>8103.3301089889537</v>
      </c>
      <c r="J68" s="19">
        <f t="shared" si="6"/>
        <v>7983.6065573770511</v>
      </c>
    </row>
    <row r="69" spans="1:10" x14ac:dyDescent="0.25">
      <c r="A69" s="43">
        <v>43313</v>
      </c>
      <c r="B69">
        <v>48</v>
      </c>
      <c r="C69" s="18">
        <f t="shared" si="0"/>
        <v>1000</v>
      </c>
      <c r="D69" s="18">
        <f t="shared" si="14"/>
        <v>363.3637289254678</v>
      </c>
      <c r="E69" s="18">
        <f t="shared" si="1"/>
        <v>351.14430472285352</v>
      </c>
      <c r="F69" s="18">
        <f t="shared" si="2"/>
        <v>426.22950819672133</v>
      </c>
      <c r="G69" s="19">
        <f t="shared" si="3"/>
        <v>17000</v>
      </c>
      <c r="H69" s="19">
        <f t="shared" si="4"/>
        <v>8288.1536264428123</v>
      </c>
      <c r="I69" s="19">
        <f t="shared" si="5"/>
        <v>7752.1858042661006</v>
      </c>
      <c r="J69" s="19">
        <f t="shared" si="6"/>
        <v>7557.3770491803298</v>
      </c>
    </row>
    <row r="70" spans="1:10" x14ac:dyDescent="0.25">
      <c r="A70" s="43">
        <v>43344</v>
      </c>
      <c r="B70">
        <v>49</v>
      </c>
      <c r="C70" s="18">
        <f t="shared" si="0"/>
        <v>1000</v>
      </c>
      <c r="D70" s="18">
        <f t="shared" si="14"/>
        <v>348.10245231059815</v>
      </c>
      <c r="E70" s="18">
        <f t="shared" si="1"/>
        <v>335.92805151819647</v>
      </c>
      <c r="F70" s="18">
        <f t="shared" si="2"/>
        <v>393.44262295081967</v>
      </c>
      <c r="G70" s="19">
        <f t="shared" si="3"/>
        <v>16000</v>
      </c>
      <c r="H70" s="19">
        <f t="shared" si="4"/>
        <v>7940.0511741322143</v>
      </c>
      <c r="I70" s="19">
        <f t="shared" si="5"/>
        <v>7416.2577527479043</v>
      </c>
      <c r="J70" s="19">
        <f t="shared" si="6"/>
        <v>7163.9344262295099</v>
      </c>
    </row>
    <row r="71" spans="1:10" x14ac:dyDescent="0.25">
      <c r="A71" s="43">
        <v>43374</v>
      </c>
      <c r="B71">
        <v>50</v>
      </c>
      <c r="C71" s="18">
        <f t="shared" si="0"/>
        <v>1000</v>
      </c>
      <c r="D71" s="18">
        <f t="shared" si="14"/>
        <v>333.48214931355301</v>
      </c>
      <c r="E71" s="18">
        <f t="shared" si="1"/>
        <v>321.3711692857413</v>
      </c>
      <c r="F71" s="18">
        <f t="shared" si="2"/>
        <v>360.65573770491801</v>
      </c>
      <c r="G71" s="19">
        <f t="shared" si="3"/>
        <v>15000</v>
      </c>
      <c r="H71" s="19">
        <f t="shared" si="4"/>
        <v>7606.5690248186611</v>
      </c>
      <c r="I71" s="19">
        <f t="shared" si="5"/>
        <v>7094.8865834621629</v>
      </c>
      <c r="J71" s="19">
        <f t="shared" si="6"/>
        <v>6803.2786885245914</v>
      </c>
    </row>
    <row r="72" spans="1:10" x14ac:dyDescent="0.25">
      <c r="A72" s="43">
        <v>43405</v>
      </c>
      <c r="B72">
        <v>51</v>
      </c>
      <c r="C72" s="18">
        <f t="shared" si="0"/>
        <v>1000</v>
      </c>
      <c r="D72" s="18">
        <f t="shared" si="14"/>
        <v>319.47589904238379</v>
      </c>
      <c r="E72" s="18">
        <f t="shared" si="1"/>
        <v>307.44508528335916</v>
      </c>
      <c r="F72" s="18">
        <f t="shared" si="2"/>
        <v>327.86885245901641</v>
      </c>
      <c r="G72" s="19">
        <f t="shared" si="3"/>
        <v>14000</v>
      </c>
      <c r="H72" s="19">
        <f t="shared" si="4"/>
        <v>7287.0931257762777</v>
      </c>
      <c r="I72" s="19">
        <f t="shared" si="5"/>
        <v>6787.4414981788041</v>
      </c>
      <c r="J72" s="19">
        <f t="shared" si="6"/>
        <v>6475.4098360655753</v>
      </c>
    </row>
    <row r="73" spans="1:10" x14ac:dyDescent="0.25">
      <c r="A73" s="43">
        <v>43435</v>
      </c>
      <c r="B73">
        <v>52</v>
      </c>
      <c r="C73" s="18">
        <f t="shared" si="0"/>
        <v>1000</v>
      </c>
      <c r="D73" s="18">
        <f t="shared" si="14"/>
        <v>306.0579112826037</v>
      </c>
      <c r="E73" s="18">
        <f t="shared" si="1"/>
        <v>294.12246492108028</v>
      </c>
      <c r="F73" s="18">
        <f t="shared" si="2"/>
        <v>295.08196721311475</v>
      </c>
      <c r="G73" s="19">
        <f t="shared" si="3"/>
        <v>13000</v>
      </c>
      <c r="H73" s="19">
        <f t="shared" si="4"/>
        <v>6981.0352144936742</v>
      </c>
      <c r="I73" s="19">
        <f t="shared" si="5"/>
        <v>6493.3190332577242</v>
      </c>
      <c r="J73" s="19">
        <f t="shared" si="6"/>
        <v>6180.3278688524606</v>
      </c>
    </row>
    <row r="74" spans="1:10" x14ac:dyDescent="0.25">
      <c r="A74" s="44" t="s">
        <v>134</v>
      </c>
      <c r="C74" s="45">
        <f>SUM(C62:C73)</f>
        <v>12000</v>
      </c>
      <c r="D74" s="45">
        <f t="shared" ref="D74:F74" si="15">SUM(D62:D73)</f>
        <v>4701.4091051165487</v>
      </c>
      <c r="E74" s="45">
        <f t="shared" si="15"/>
        <v>4556.0896536230657</v>
      </c>
      <c r="F74" s="45">
        <f t="shared" si="15"/>
        <v>5704.9180327868853</v>
      </c>
      <c r="G74" s="19"/>
      <c r="H74" s="19"/>
      <c r="I74" s="19"/>
      <c r="J74" s="19"/>
    </row>
    <row r="75" spans="1:10" x14ac:dyDescent="0.25">
      <c r="A75" s="43">
        <v>43466</v>
      </c>
      <c r="B75">
        <v>53</v>
      </c>
      <c r="C75" s="18">
        <f t="shared" si="0"/>
        <v>1000</v>
      </c>
      <c r="D75" s="18">
        <f t="shared" ref="D75:D81" si="16">DB($C$8,$C$11,$C$10,B75)</f>
        <v>293.20347900873435</v>
      </c>
      <c r="E75" s="18">
        <f t="shared" si="1"/>
        <v>281.37715810783345</v>
      </c>
      <c r="F75" s="18">
        <f t="shared" si="2"/>
        <v>262.29508196721309</v>
      </c>
      <c r="G75" s="19">
        <f>G73-C75</f>
        <v>12000</v>
      </c>
      <c r="H75" s="19">
        <f>H73-D75</f>
        <v>6687.8317354849396</v>
      </c>
      <c r="I75" s="19">
        <f>I73-E75</f>
        <v>6211.9418751498906</v>
      </c>
      <c r="J75" s="19">
        <f>J73-F75</f>
        <v>5918.0327868852473</v>
      </c>
    </row>
    <row r="76" spans="1:10" x14ac:dyDescent="0.25">
      <c r="A76" s="43">
        <v>43497</v>
      </c>
      <c r="B76">
        <v>54</v>
      </c>
      <c r="C76" s="18">
        <f t="shared" si="0"/>
        <v>1000</v>
      </c>
      <c r="D76" s="18">
        <f t="shared" si="16"/>
        <v>280.88893289036747</v>
      </c>
      <c r="E76" s="18">
        <f t="shared" si="1"/>
        <v>269.18414792316065</v>
      </c>
      <c r="F76" s="18">
        <f t="shared" si="2"/>
        <v>229.50819672131146</v>
      </c>
      <c r="G76" s="19">
        <f t="shared" si="3"/>
        <v>11000</v>
      </c>
      <c r="H76" s="19">
        <f t="shared" si="4"/>
        <v>6406.9428025945717</v>
      </c>
      <c r="I76" s="19">
        <f t="shared" si="5"/>
        <v>5942.7577272267299</v>
      </c>
      <c r="J76" s="19">
        <f t="shared" si="6"/>
        <v>5688.5245901639355</v>
      </c>
    </row>
    <row r="77" spans="1:10" x14ac:dyDescent="0.25">
      <c r="A77" s="43">
        <v>43525</v>
      </c>
      <c r="B77">
        <v>55</v>
      </c>
      <c r="C77" s="18">
        <f t="shared" si="0"/>
        <v>1000</v>
      </c>
      <c r="D77" s="18">
        <f t="shared" si="16"/>
        <v>269.09159770897202</v>
      </c>
      <c r="E77" s="18">
        <f t="shared" si="1"/>
        <v>257.51950151315702</v>
      </c>
      <c r="F77" s="18">
        <f t="shared" si="2"/>
        <v>196.72131147540983</v>
      </c>
      <c r="G77" s="19">
        <f t="shared" si="3"/>
        <v>10000</v>
      </c>
      <c r="H77" s="19">
        <f t="shared" si="4"/>
        <v>6137.8512048856001</v>
      </c>
      <c r="I77" s="19">
        <f t="shared" si="5"/>
        <v>5685.2382257135732</v>
      </c>
      <c r="J77" s="19">
        <f t="shared" si="6"/>
        <v>5491.803278688526</v>
      </c>
    </row>
    <row r="78" spans="1:10" x14ac:dyDescent="0.25">
      <c r="A78" s="43">
        <v>43556</v>
      </c>
      <c r="B78">
        <v>56</v>
      </c>
      <c r="C78" s="18">
        <f t="shared" si="0"/>
        <v>1000</v>
      </c>
      <c r="D78" s="18">
        <f t="shared" si="16"/>
        <v>257.7897506051952</v>
      </c>
      <c r="E78" s="18">
        <f t="shared" si="1"/>
        <v>246.36032311425359</v>
      </c>
      <c r="F78" s="18">
        <f t="shared" si="2"/>
        <v>163.9344262295082</v>
      </c>
      <c r="G78" s="19">
        <f t="shared" si="3"/>
        <v>9000</v>
      </c>
      <c r="H78" s="19">
        <f t="shared" si="4"/>
        <v>5880.0614542804051</v>
      </c>
      <c r="I78" s="19">
        <f t="shared" si="5"/>
        <v>5438.8779025993199</v>
      </c>
      <c r="J78" s="19">
        <f t="shared" si="6"/>
        <v>5327.8688524590179</v>
      </c>
    </row>
    <row r="79" spans="1:10" x14ac:dyDescent="0.25">
      <c r="A79" s="43">
        <v>43586</v>
      </c>
      <c r="B79">
        <v>57</v>
      </c>
      <c r="C79" s="18">
        <f t="shared" si="0"/>
        <v>1000</v>
      </c>
      <c r="D79" s="18">
        <f t="shared" si="16"/>
        <v>246.96258107977704</v>
      </c>
      <c r="E79" s="18">
        <f t="shared" si="1"/>
        <v>235.68470911263586</v>
      </c>
      <c r="F79" s="18">
        <f t="shared" si="2"/>
        <v>131.14754098360655</v>
      </c>
      <c r="G79" s="19">
        <f t="shared" si="3"/>
        <v>8000</v>
      </c>
      <c r="H79" s="19">
        <f t="shared" si="4"/>
        <v>5633.0988732006281</v>
      </c>
      <c r="I79" s="19">
        <f t="shared" si="5"/>
        <v>5203.1931934866843</v>
      </c>
      <c r="J79" s="19">
        <f t="shared" si="6"/>
        <v>5196.7213114754113</v>
      </c>
    </row>
    <row r="80" spans="1:10" x14ac:dyDescent="0.25">
      <c r="A80" s="43">
        <v>43617</v>
      </c>
      <c r="B80">
        <v>58</v>
      </c>
      <c r="C80" s="18">
        <f t="shared" si="0"/>
        <v>1000</v>
      </c>
      <c r="D80" s="18">
        <f t="shared" si="16"/>
        <v>236.59015267442641</v>
      </c>
      <c r="E80" s="18">
        <f t="shared" si="1"/>
        <v>203.1931934866534</v>
      </c>
      <c r="F80" s="18">
        <f t="shared" si="2"/>
        <v>98.360655737704917</v>
      </c>
      <c r="G80" s="19">
        <f t="shared" si="3"/>
        <v>7000</v>
      </c>
      <c r="H80" s="19">
        <f t="shared" si="4"/>
        <v>5396.5087205262016</v>
      </c>
      <c r="I80" s="19">
        <f t="shared" si="5"/>
        <v>5000.0000000000309</v>
      </c>
      <c r="J80" s="19">
        <f t="shared" si="6"/>
        <v>5098.3606557377061</v>
      </c>
    </row>
    <row r="81" spans="1:10" x14ac:dyDescent="0.25">
      <c r="A81" s="43">
        <v>43647</v>
      </c>
      <c r="B81">
        <v>59</v>
      </c>
      <c r="C81" s="18">
        <f t="shared" si="0"/>
        <v>1000</v>
      </c>
      <c r="D81" s="18">
        <f t="shared" si="16"/>
        <v>226.65336626210049</v>
      </c>
      <c r="E81" s="18">
        <f t="shared" si="1"/>
        <v>0</v>
      </c>
      <c r="F81" s="18">
        <f t="shared" si="2"/>
        <v>65.573770491803273</v>
      </c>
      <c r="G81" s="19">
        <f t="shared" si="3"/>
        <v>6000</v>
      </c>
      <c r="H81" s="19">
        <f t="shared" si="4"/>
        <v>5169.8553542641012</v>
      </c>
      <c r="I81" s="19" t="s">
        <v>27</v>
      </c>
      <c r="J81" s="19">
        <f t="shared" si="6"/>
        <v>5032.7868852459032</v>
      </c>
    </row>
    <row r="82" spans="1:10" x14ac:dyDescent="0.25">
      <c r="A82" s="43">
        <v>43678</v>
      </c>
      <c r="B82">
        <v>60</v>
      </c>
      <c r="C82" s="18">
        <f t="shared" si="0"/>
        <v>1000</v>
      </c>
      <c r="D82" s="18">
        <v>169.86</v>
      </c>
      <c r="E82" s="18">
        <f t="shared" si="1"/>
        <v>0</v>
      </c>
      <c r="F82" s="18">
        <f t="shared" si="2"/>
        <v>32.786885245901637</v>
      </c>
      <c r="G82" s="19">
        <f t="shared" si="3"/>
        <v>5000</v>
      </c>
      <c r="H82" s="19">
        <f t="shared" si="4"/>
        <v>4999.9953542641015</v>
      </c>
      <c r="I82" s="19" t="s">
        <v>27</v>
      </c>
      <c r="J82" s="19">
        <f t="shared" si="6"/>
        <v>5000.0000000000018</v>
      </c>
    </row>
    <row r="83" spans="1:10" x14ac:dyDescent="0.25">
      <c r="A83" s="44" t="s">
        <v>135</v>
      </c>
      <c r="B83" s="15"/>
      <c r="C83" s="45">
        <f>SUM(C75:C82)</f>
        <v>8000</v>
      </c>
      <c r="D83" s="45">
        <f t="shared" ref="D83:F83" si="17">SUM(D75:D82)</f>
        <v>1981.0398602295732</v>
      </c>
      <c r="E83" s="45">
        <f t="shared" si="17"/>
        <v>1493.3190332576939</v>
      </c>
      <c r="F83" s="45">
        <f t="shared" si="17"/>
        <v>1180.327868852459</v>
      </c>
    </row>
    <row r="84" spans="1:10" x14ac:dyDescent="0.25">
      <c r="A84" s="15" t="s">
        <v>150</v>
      </c>
      <c r="C84" s="45">
        <f>C22+C35+C48+C61+C74+C83</f>
        <v>60000</v>
      </c>
      <c r="D84" s="45">
        <f t="shared" ref="D84:F84" si="18">D22+D35+D48+D61+D74+D83</f>
        <v>60000.004645735899</v>
      </c>
      <c r="E84" s="45">
        <f t="shared" si="18"/>
        <v>59999.999999999985</v>
      </c>
      <c r="F84" s="45">
        <f t="shared" si="18"/>
        <v>60000</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 Menu</vt:lpstr>
      <vt:lpstr>1 - Payment Functions</vt:lpstr>
      <vt:lpstr>2 - Interest Rate Functions</vt:lpstr>
      <vt:lpstr>3 - Yield Rate Functions</vt:lpstr>
      <vt:lpstr>4 - Depreciation Functions</vt:lpstr>
    </vt:vector>
  </TitlesOfParts>
  <Company>Excellence in Financial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Lesson 3 Workbook</dc:title>
  <dc:subject>Financial Modeling</dc:subject>
  <dc:creator>Matt H. Evans</dc:creator>
  <cp:lastModifiedBy> </cp:lastModifiedBy>
  <dcterms:created xsi:type="dcterms:W3CDTF">2013-03-01T16:24:40Z</dcterms:created>
  <dcterms:modified xsi:type="dcterms:W3CDTF">2013-04-01T23:34:29Z</dcterms:modified>
</cp:coreProperties>
</file>