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720" windowHeight="14720" activeTab="0"/>
  </bookViews>
  <sheets>
    <sheet name="NewFCFF2Stage" sheetId="1" r:id="rId1"/>
  </sheets>
  <definedNames/>
  <calcPr fullCalcOnLoad="1" iterate="1" iterateCount="2000" iterateDelta="0.001"/>
</workbook>
</file>

<file path=xl/comments1.xml><?xml version="1.0" encoding="utf-8"?>
<comments xmlns="http://schemas.openxmlformats.org/spreadsheetml/2006/main">
  <authors>
    <author>A satisfied Microsoft Office user</author>
    <author>Aswath Damodaran</author>
  </authors>
  <commentList>
    <comment ref="D20" authorId="0">
      <text>
        <r>
          <rPr>
            <sz val="9"/>
            <rFont val="Geneva"/>
            <family val="0"/>
          </rPr>
          <t>Aswath Damodaran:
Enter the current EBIT for the firm. If your current EBIT is negative, you will have to normalize EBIT.</t>
        </r>
      </text>
    </comment>
    <comment ref="D21" authorId="0">
      <text>
        <r>
          <rPr>
            <sz val="9"/>
            <rFont val="Geneva"/>
            <family val="0"/>
          </rPr>
          <t>Aswath Damodaran:
Enter the total interest expenses, corresponding to the dollar debt that you enter below.</t>
        </r>
      </text>
    </comment>
    <comment ref="D22" authorId="0">
      <text>
        <r>
          <rPr>
            <sz val="9"/>
            <rFont val="Geneva"/>
            <family val="0"/>
          </rPr>
          <t>Aswath Damodaran:
Enter the current capital expenditures, including acquisitions made. You might want to normalize this, if it is volatile.</t>
        </r>
      </text>
    </comment>
    <comment ref="D23" authorId="0">
      <text>
        <r>
          <rPr>
            <sz val="9"/>
            <rFont val="Geneva"/>
            <family val="0"/>
          </rPr>
          <t>Aswath Damodaran:
Enter the aggreate depreciation and amortization claimed by the firm.</t>
        </r>
      </text>
    </comment>
    <comment ref="D24" authorId="0">
      <text>
        <r>
          <rPr>
            <sz val="9"/>
            <rFont val="Geneva"/>
            <family val="0"/>
          </rPr>
          <t>Aswath Damodaran:
Enter the effective tax rate if it is greater than 35%, or 35% if the effective tax rate is lower.</t>
        </r>
      </text>
    </comment>
    <comment ref="D25" authorId="0">
      <text>
        <r>
          <rPr>
            <sz val="9"/>
            <rFont val="Geneva"/>
            <family val="0"/>
          </rPr>
          <t>Aswath Damodaran:
Enter aggregate revenues during the year.</t>
        </r>
      </text>
    </comment>
    <comment ref="D26" authorId="0">
      <text>
        <r>
          <rPr>
            <sz val="9"/>
            <rFont val="Geneva"/>
            <family val="0"/>
          </rPr>
          <t>Aswath Damodaran:
Non-cash WC = Inventory + Acc Rec - Acc Payable</t>
        </r>
      </text>
    </comment>
    <comment ref="D27" authorId="0">
      <text>
        <r>
          <rPr>
            <sz val="9"/>
            <rFont val="Geneva"/>
            <family val="0"/>
          </rPr>
          <t>Aswath Damodaran:
Enter the change in non-cash working capital from last year to this year.</t>
        </r>
      </text>
    </comment>
    <comment ref="D30" authorId="0">
      <text>
        <r>
          <rPr>
            <sz val="9"/>
            <rFont val="Geneva"/>
            <family val="0"/>
          </rPr>
          <t>Aswath Damodaran:
Enter total interest-bearing debt. If you are capitalizing operating leases, add them here.</t>
        </r>
      </text>
    </comment>
    <comment ref="D31" authorId="0">
      <text>
        <r>
          <rPr>
            <sz val="9"/>
            <rFont val="Geneva"/>
            <family val="0"/>
          </rPr>
          <t>Aswath Damodaran:
Enter the total shareholders equity.</t>
        </r>
      </text>
    </comment>
    <comment ref="F36" authorId="0">
      <text>
        <r>
          <rPr>
            <sz val="9"/>
            <rFont val="Geneva"/>
            <family val="0"/>
          </rPr>
          <t>Aswath Damodaran:
Enter the current market price per share.</t>
        </r>
      </text>
    </comment>
    <comment ref="F37" authorId="0">
      <text>
        <r>
          <rPr>
            <sz val="9"/>
            <rFont val="Geneva"/>
            <family val="0"/>
          </rPr>
          <t>Aswath Damodaran:
Enter number of shares in the same units as inputs above.</t>
        </r>
      </text>
    </comment>
    <comment ref="F38" authorId="0">
      <text>
        <r>
          <rPr>
            <sz val="9"/>
            <rFont val="Geneva"/>
            <family val="0"/>
          </rPr>
          <t>Aswath Damodaran:
If you can estimate the market value of the debt, enter that here. Else, enter the book value of debt from above.</t>
        </r>
      </text>
    </comment>
    <comment ref="F40" authorId="0">
      <text>
        <r>
          <rPr>
            <sz val="9"/>
            <rFont val="Geneva"/>
            <family val="0"/>
          </rPr>
          <t>Aswath Damodaran:
You should almost never use the book value debt ratio. You can try this, if you want, to see how much value will shift.</t>
        </r>
      </text>
    </comment>
    <comment ref="F41" authorId="0">
      <text>
        <r>
          <rPr>
            <sz val="9"/>
            <rFont val="Geneva"/>
            <family val="0"/>
          </rPr>
          <t>Aswath Damodaran:
In some cases, you might want to replace the current debt ratio with the industry average debt ratio.</t>
        </r>
      </text>
    </comment>
    <comment ref="E43" authorId="0">
      <text>
        <r>
          <rPr>
            <sz val="9"/>
            <rFont val="Geneva"/>
            <family val="0"/>
          </rPr>
          <t>Aswath Damodaran:
Enter the length of the growth period. I will restrict you to 10 years.</t>
        </r>
      </text>
    </comment>
    <comment ref="F45" authorId="0">
      <text>
        <r>
          <rPr>
            <sz val="9"/>
            <rFont val="Geneva"/>
            <family val="0"/>
          </rPr>
          <t>Aswath Damodaran:
If your firm has leverage which is out of the industry norm, you should generally say yes here.</t>
        </r>
      </text>
    </comment>
    <comment ref="F46" authorId="0">
      <text>
        <r>
          <rPr>
            <sz val="9"/>
            <rFont val="Geneva"/>
            <family val="0"/>
          </rPr>
          <t>Aswath Damodaran:
If you said yes to the previous question, you should enter the industry-average or optimal debt ratio.</t>
        </r>
      </text>
    </comment>
    <comment ref="E49" authorId="0">
      <text>
        <r>
          <rPr>
            <sz val="9"/>
            <rFont val="Geneva"/>
            <family val="0"/>
          </rPr>
          <t>Aswath Damodaran:
Generally, you should try to input the beta below. You can override this by inputting a cost of equity directly.</t>
        </r>
      </text>
    </comment>
    <comment ref="E50" authorId="0">
      <text>
        <r>
          <rPr>
            <sz val="9"/>
            <rFont val="Geneva"/>
            <family val="0"/>
          </rPr>
          <t>Aswath Damodaran:
Enter the cost of equity in percent terms, if you want to input it directly.</t>
        </r>
      </text>
    </comment>
    <comment ref="D52" authorId="0">
      <text>
        <r>
          <rPr>
            <sz val="9"/>
            <rFont val="Geneva"/>
            <family val="0"/>
          </rPr>
          <t>Aswath Damodaran:
Enter the current beta for the firm. Use the bottom-up beta, if you can get it.</t>
        </r>
      </text>
    </comment>
    <comment ref="D53" authorId="0">
      <text>
        <r>
          <rPr>
            <sz val="9"/>
            <rFont val="Geneva"/>
            <family val="0"/>
          </rPr>
          <t>Aswath Damodaran:
Enter the current long term government bond rate.</t>
        </r>
      </text>
    </comment>
    <comment ref="D54" authorId="0">
      <text>
        <r>
          <rPr>
            <sz val="9"/>
            <rFont val="Geneva"/>
            <family val="0"/>
          </rPr>
          <t>Aswath Damodaran:
Enter the risk premium for equities over riskfree investments. You can use an implied or historical premium.</t>
        </r>
      </text>
    </comment>
    <comment ref="E56" authorId="0">
      <text>
        <r>
          <rPr>
            <sz val="9"/>
            <rFont val="Geneva"/>
            <family val="0"/>
          </rPr>
          <t>Aswath Damodaran:
The best way to do this is to use the firms's rating (actual and synthetic) and estimate an appropriate interest rate by adding a default spread to the long term treasury bond rate.</t>
        </r>
      </text>
    </comment>
    <comment ref="E59" authorId="0">
      <text>
        <r>
          <rPr>
            <sz val="9"/>
            <rFont val="Geneva"/>
            <family val="0"/>
          </rPr>
          <t>Aswath Damodaran:
If your firm has had a volatile or short history, you might want to ignore the historical growth rate.</t>
        </r>
      </text>
    </comment>
    <comment ref="E60" authorId="0">
      <text>
        <r>
          <rPr>
            <sz val="9"/>
            <rFont val="Geneva"/>
            <family val="0"/>
          </rPr>
          <t>Aswath Damodaran:
Enter the EBIT from five years prior to the current year. Thus, if the current year is 1998, look up earnings in 1993.</t>
        </r>
      </text>
    </comment>
    <comment ref="E62" authorId="0">
      <text>
        <r>
          <rPr>
            <sz val="9"/>
            <rFont val="Geneva"/>
            <family val="0"/>
          </rPr>
          <t>Aswath Damodaran:
Tough to get for operating income. You can look up analysts estimates for EPS growth over next 5 years.</t>
        </r>
      </text>
    </comment>
    <comment ref="E63" authorId="0">
      <text>
        <r>
          <rPr>
            <sz val="9"/>
            <rFont val="Geneva"/>
            <family val="0"/>
          </rPr>
          <t>Aswath Damodaran:
If you are entering EPS growth, you should reduce it to reflect the fact that operating income grows slower than EPS.</t>
        </r>
      </text>
    </comment>
    <comment ref="F65" authorId="0">
      <text>
        <r>
          <rPr>
            <sz val="9"/>
            <rFont val="Geneva"/>
            <family val="0"/>
          </rPr>
          <t>Aswath Damodaran:
You should try to do this, if you want an internally consistent vauation.</t>
        </r>
      </text>
    </comment>
    <comment ref="C67" authorId="0">
      <text>
        <r>
          <rPr>
            <sz val="9"/>
            <rFont val="Geneva"/>
            <family val="0"/>
          </rPr>
          <t>Aswath Damodaran:
This is estimated using the inputs from above on EBIT and book value of capital.</t>
        </r>
      </text>
    </comment>
    <comment ref="C68" authorId="0">
      <text>
        <r>
          <rPr>
            <sz val="9"/>
            <rFont val="Geneva"/>
            <family val="0"/>
          </rPr>
          <t>Aswath Damodaran:
Estimated from cap ex, working capital and EBIT estimated above.</t>
        </r>
      </text>
    </comment>
    <comment ref="F69" authorId="0">
      <text>
        <r>
          <rPr>
            <sz val="9"/>
            <rFont val="Geneva"/>
            <family val="0"/>
          </rPr>
          <t>Aswath Damodaran:
Compare your firm's numbers to those of the industry. If they look strange, you might want to change them below.</t>
        </r>
      </text>
    </comment>
    <comment ref="C71" authorId="0">
      <text>
        <r>
          <rPr>
            <sz val="9"/>
            <rFont val="Geneva"/>
            <family val="0"/>
          </rPr>
          <t>Aswath Damodaran:
Replace with a more reasonable ROC. Two possible choices - the firm's average ROC over time, the sector's ROC or the firm's cost of capital.</t>
        </r>
      </text>
    </comment>
    <comment ref="C72" authorId="0">
      <text>
        <r>
          <rPr>
            <sz val="9"/>
            <rFont val="Geneva"/>
            <family val="0"/>
          </rPr>
          <t>Aswath Damodaran:
Replace either with the firm's average reinvestment rate over time or sector average.</t>
        </r>
      </text>
    </comment>
    <comment ref="E75" authorId="0">
      <text>
        <r>
          <rPr>
            <sz val="9"/>
            <rFont val="Geneva"/>
            <family val="0"/>
          </rPr>
          <t>Aswath Damodaran:
This defines the weight to be attached to the historical growth rate. If earnings history has been volatile, input zero.</t>
        </r>
      </text>
    </comment>
    <comment ref="E76" authorId="0">
      <text>
        <r>
          <rPr>
            <sz val="9"/>
            <rFont val="Geneva"/>
            <family val="0"/>
          </rPr>
          <t xml:space="preserve">Aswath Damodaran:
Reflects how much you trust analysts to do a good job of predicting expected future growth. </t>
        </r>
      </text>
    </comment>
    <comment ref="E77" authorId="0">
      <text>
        <r>
          <rPr>
            <sz val="9"/>
            <rFont val="Geneva"/>
            <family val="0"/>
          </rPr>
          <t>Aswath Damodaran:
Should be whatever is left over in terms of weight. The weights have to add up to one.</t>
        </r>
      </text>
    </comment>
    <comment ref="E79" authorId="0">
      <text>
        <r>
          <rPr>
            <sz val="9"/>
            <rFont val="Geneva"/>
            <family val="0"/>
          </rPr>
          <t>Aswath Damodaran:
This is the growth rate after your high growth phase. Since it is forever, it cannot be greater than 5-6%. If your firm might still have growth potential at the end of high growth, go with the upper end of the range. Else, go lower.</t>
        </r>
      </text>
    </comment>
    <comment ref="E82" authorId="0">
      <text>
        <r>
          <rPr>
            <sz val="9"/>
            <rFont val="Geneva"/>
            <family val="0"/>
          </rPr>
          <t>Aswath Damodaran:
If your beta currently is a high number (&gt;1.20) or a low number (&lt;0.80), you will want to move it at least towards these limits - 1.20 for high beta, and 0.80 for low beta.</t>
        </r>
      </text>
    </comment>
    <comment ref="E83" authorId="0">
      <text>
        <r>
          <rPr>
            <sz val="9"/>
            <rFont val="Geneva"/>
            <family val="0"/>
          </rPr>
          <t>Aswath Damodaran:
Enter the beta for the stable period. Keep between 0.80 and 1.20.</t>
        </r>
      </text>
    </comment>
    <comment ref="E85" authorId="0">
      <text>
        <r>
          <rPr>
            <sz val="9"/>
            <rFont val="Geneva"/>
            <family val="0"/>
          </rPr>
          <t>Aswath Damodaran:
Generally, firms get more stable as they age. The cost of debt should get lower for high risk firms.</t>
        </r>
      </text>
    </comment>
    <comment ref="E86" authorId="0">
      <text>
        <r>
          <rPr>
            <sz val="9"/>
            <rFont val="Geneva"/>
            <family val="0"/>
          </rPr>
          <t>Aswath Damodaran:
Enter the cost of debt for a safer firm. I would use an A rating for riskier firms in stable growth.</t>
        </r>
      </text>
    </comment>
    <comment ref="F89" authorId="0">
      <text>
        <r>
          <rPr>
            <sz val="9"/>
            <rFont val="Geneva"/>
            <family val="0"/>
          </rPr>
          <t>Aswath Damodaran:
If you have a reasonable cap ex/depreciation ratio, relative to the sector, answer yes. If not, enter no.</t>
        </r>
      </text>
    </comment>
    <comment ref="C92" authorId="0">
      <text>
        <r>
          <rPr>
            <sz val="9"/>
            <rFont val="Geneva"/>
            <family val="0"/>
          </rPr>
          <t>Aswath Damodaran:
If the capital expenditures currently are very high relative to depreciation, set this to a lower number than the growth rate in earnings and depreciation.</t>
        </r>
      </text>
    </comment>
    <comment ref="D92" authorId="0">
      <text>
        <r>
          <rPr>
            <sz val="9"/>
            <rFont val="Geneva"/>
            <family val="0"/>
          </rPr>
          <t>Aswath Damodaran:
If depreciation is higher than cap ex currently, set this growth rate above the growth rate in cap ex.</t>
        </r>
      </text>
    </comment>
    <comment ref="E92" authorId="0">
      <text>
        <r>
          <rPr>
            <sz val="9"/>
            <rFont val="Geneva"/>
            <family val="0"/>
          </rPr>
          <t>Aswath Damodaran:
If margins are expected to improve over time, this rate will be lower than the growth rate in earnings.</t>
        </r>
      </text>
    </comment>
    <comment ref="F95" authorId="0">
      <text>
        <r>
          <rPr>
            <sz val="9"/>
            <rFont val="Geneva"/>
            <family val="0"/>
          </rPr>
          <t>Aswath Damodaran:
If your firm's non-cash working capital as a percent of revenues is close to industry average, say yes. Else, say no.</t>
        </r>
      </text>
    </comment>
    <comment ref="E96" authorId="0">
      <text>
        <r>
          <rPr>
            <sz val="9"/>
            <rFont val="Geneva"/>
            <family val="0"/>
          </rPr>
          <t>Aswath Damodaran:
Enter the industry average working capital as a percent of revenues.</t>
        </r>
      </text>
    </comment>
    <comment ref="F99" authorId="0">
      <text>
        <r>
          <rPr>
            <sz val="9"/>
            <rFont val="Geneva"/>
            <family val="0"/>
          </rPr>
          <t xml:space="preserve">Aswath Damodaran:
Generally, it is not a good idea to say yes. Where will your growth come from? </t>
        </r>
      </text>
    </comment>
    <comment ref="F102" authorId="0">
      <text>
        <r>
          <rPr>
            <sz val="9"/>
            <rFont val="Geneva"/>
            <family val="0"/>
          </rPr>
          <t>Aswath Damodaran:
Enter the industry average cap ex/depreciation ratio</t>
        </r>
      </text>
    </comment>
    <comment ref="F100" authorId="1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Yes or no. If yes, enter the return on capital that your firm will have in stable growth. If no, enter cap ex as a percent of depreciation in the cell below.</t>
        </r>
      </text>
    </comment>
  </commentList>
</comments>
</file>

<file path=xl/sharedStrings.xml><?xml version="1.0" encoding="utf-8"?>
<sst xmlns="http://schemas.openxmlformats.org/spreadsheetml/2006/main" count="179" uniqueCount="138">
  <si>
    <t>Present Value of FCFF in high growth phase =</t>
  </si>
  <si>
    <t>Present Value of Terminal Value of Firm =</t>
  </si>
  <si>
    <t>Value of the firm =</t>
  </si>
  <si>
    <t>Market Value of outstanding debt =</t>
  </si>
  <si>
    <t>Market Value of Equity =</t>
  </si>
  <si>
    <t>Market Value of Equity/share =</t>
  </si>
  <si>
    <t>Two-Stage FCFF Discount Model</t>
  </si>
  <si>
    <t>This model is designed to value a firm, with two stages of growth, an initial</t>
  </si>
  <si>
    <t>period of higher growth and a subsequent period of stable growth.</t>
  </si>
  <si>
    <t>Assumptions</t>
  </si>
  <si>
    <t>1. The firm is expected to grow at a higher growth rate in the first period.</t>
  </si>
  <si>
    <t>2. The growth rate will drop at the end of the first period to the stable growth rate.</t>
  </si>
  <si>
    <t>The user has to define the following inputs:</t>
  </si>
  <si>
    <t>1. Length of high growth period</t>
  </si>
  <si>
    <t>2. Expected growth rate in earnings during the high growth period.</t>
  </si>
  <si>
    <t>3. Capital Spending, Depreciation and Working Capital needs during the high growth period.</t>
  </si>
  <si>
    <t>4. Expected growth rate in earnings during the stable growth period.</t>
  </si>
  <si>
    <t>5. Inputs for the cost of capital. (Cost of equity, Cost of debt, Weights on debt and equity)</t>
  </si>
  <si>
    <t>Inputs to the model</t>
  </si>
  <si>
    <t>Current EBIT =</t>
  </si>
  <si>
    <t>Do you want your reinvestment to be computed from fundamentals?</t>
  </si>
  <si>
    <t>Return on captial in perpetuity</t>
  </si>
  <si>
    <t>Cash and Marketable Securities =</t>
  </si>
  <si>
    <t>Cash and Marketable Securities</t>
  </si>
  <si>
    <t>Value of Equity options issued by the company =</t>
  </si>
  <si>
    <t>Value of equity options issued by firm =</t>
  </si>
  <si>
    <t>If yes, enter the beta for stable period =</t>
  </si>
  <si>
    <t>Will the cost of debt change in the stable period?</t>
  </si>
  <si>
    <t>If yes, enter the new cost of debt  =</t>
  </si>
  <si>
    <t>Capital Spending, Depreciation &amp; Working Capital</t>
  </si>
  <si>
    <t>Do you want all these items to grow at the same rate as earnings ?</t>
  </si>
  <si>
    <t>If not, enter the growth rates for each of the following items:</t>
  </si>
  <si>
    <t>Capital Spending</t>
  </si>
  <si>
    <t>Depreciation</t>
  </si>
  <si>
    <t>Revenues</t>
  </si>
  <si>
    <t>High Growth</t>
  </si>
  <si>
    <t>Stable Growth</t>
  </si>
  <si>
    <t>Do not enter</t>
  </si>
  <si>
    <t>Do you want to keep the current fraction of working capital to revenues?</t>
  </si>
  <si>
    <t>Specify working capital as a percent of revenues:</t>
  </si>
  <si>
    <t>Capital Spending and Depreciation in Stable Growth</t>
  </si>
  <si>
    <t>Is capital spending to be offset by depreciation in stable period?</t>
  </si>
  <si>
    <t>If no, do you want to enter capital expenditure as % of depreciation</t>
  </si>
  <si>
    <t>For a richer version of this model, try the fcffginzu.xls spreadsheet.</t>
  </si>
  <si>
    <t>Output from the program</t>
  </si>
  <si>
    <t>Cost of Equity =</t>
  </si>
  <si>
    <t>Equity/(Debt+Equity ) =</t>
  </si>
  <si>
    <t>After-tax Cost of debt =</t>
  </si>
  <si>
    <t>Debt/(Debt +Equity) =</t>
  </si>
  <si>
    <t>Cost of Capital =</t>
  </si>
  <si>
    <t>Current EBIT * (1 - tax rate) =</t>
  </si>
  <si>
    <t xml:space="preserve"> - (Capital Spending - Depreciation)</t>
  </si>
  <si>
    <t xml:space="preserve"> - Change in Working Capital</t>
  </si>
  <si>
    <t>Current FCFF</t>
  </si>
  <si>
    <t>Growth Rate in Earnings per share</t>
  </si>
  <si>
    <t>Growth Rate</t>
  </si>
  <si>
    <t>Weight</t>
  </si>
  <si>
    <t>Historical Growth =</t>
  </si>
  <si>
    <t>Outside Estimates =</t>
  </si>
  <si>
    <t>Fundamental Growth =</t>
  </si>
  <si>
    <t>Weighted Average</t>
  </si>
  <si>
    <t>Growth Rate in capital spending, depreciation and working capital</t>
  </si>
  <si>
    <t>Growth rate in capital spending =</t>
  </si>
  <si>
    <t>Growth rate in depreciation =</t>
  </si>
  <si>
    <t>Growth rate in revenues =</t>
  </si>
  <si>
    <t>Working Capital as percent of revenues =</t>
  </si>
  <si>
    <t xml:space="preserve"> (in percent)</t>
  </si>
  <si>
    <t>The FCFE for the high growth phase are shown below (upto 10 years)</t>
  </si>
  <si>
    <t>Terminal Year</t>
  </si>
  <si>
    <t>EBIT * (1 - tax rate)</t>
  </si>
  <si>
    <t xml:space="preserve"> - (CapEx-Depreciation)</t>
  </si>
  <si>
    <t xml:space="preserve"> -Chg. Working Capital</t>
  </si>
  <si>
    <t>Free Cashflow to Firm</t>
  </si>
  <si>
    <t>Present Value</t>
  </si>
  <si>
    <t>Growth Rate in Stable Phase =</t>
  </si>
  <si>
    <t>FCFF in Stable Phase =</t>
  </si>
  <si>
    <t>Cost of Equity in Stable Phase =</t>
  </si>
  <si>
    <t>Equity/ (Equity + Debt) =</t>
  </si>
  <si>
    <t>AT Cost of Debt in Stable Phase =</t>
  </si>
  <si>
    <t>Debt/ (Equity + Debt)  =</t>
  </si>
  <si>
    <t>Cost of Capital in Stable Phase =</t>
  </si>
  <si>
    <t>Value at the end of growth phase =</t>
  </si>
  <si>
    <t>(in currency)</t>
  </si>
  <si>
    <t>Current Interest Expense =</t>
  </si>
  <si>
    <t>Current Capital Spending</t>
  </si>
  <si>
    <t>Current Depreciation &amp; Amort'n =</t>
  </si>
  <si>
    <t>Tax Rate on Income =</t>
  </si>
  <si>
    <t>(in percent)</t>
  </si>
  <si>
    <t>Current Revenues =</t>
  </si>
  <si>
    <t>( in currency)</t>
  </si>
  <si>
    <t>Current Non-cash Working Capital =</t>
  </si>
  <si>
    <t>Chg. Working Capital =</t>
  </si>
  <si>
    <t>Book Value of Debt =</t>
  </si>
  <si>
    <t>Book Value of Equity =</t>
  </si>
  <si>
    <t>Weights on Debt and Equity</t>
  </si>
  <si>
    <t>Is the firm publicly traded ?</t>
  </si>
  <si>
    <t>Yes</t>
  </si>
  <si>
    <t>( Yes or No)</t>
  </si>
  <si>
    <t>If yes, enter the market price per share =</t>
  </si>
  <si>
    <t xml:space="preserve">      &amp; Number of shares outstanding  =</t>
  </si>
  <si>
    <t>(in #)</t>
  </si>
  <si>
    <t xml:space="preserve">      &amp; Market Value of Debt =</t>
  </si>
  <si>
    <t>If no, do you want to use the book value debt ratio ?</t>
  </si>
  <si>
    <t>(Yes or No)</t>
  </si>
  <si>
    <t>If no, enter the debt to capital ratio to be used =</t>
  </si>
  <si>
    <t>Enter length of extraordinary growth period =</t>
  </si>
  <si>
    <t>(in years)</t>
  </si>
  <si>
    <t>Do you want to change the debt ratio in the stable growth period?</t>
  </si>
  <si>
    <t>No</t>
  </si>
  <si>
    <t>If yes, enter the debt ratio for the stable growth period =</t>
  </si>
  <si>
    <t>Costs of Components</t>
  </si>
  <si>
    <t>Do you want to enter cost of equity directly?</t>
  </si>
  <si>
    <t>If yes, enter the cost of equity =</t>
  </si>
  <si>
    <t>If no, enter the inputs to the cost of equity</t>
  </si>
  <si>
    <t>Beta of the stock =</t>
  </si>
  <si>
    <t>Riskfree rate=</t>
  </si>
  <si>
    <t>Risk Premium=</t>
  </si>
  <si>
    <t>Enter the cost of debt for cost of capital calculation</t>
  </si>
  <si>
    <t>( in percent)</t>
  </si>
  <si>
    <t>Earnings Inputs</t>
  </si>
  <si>
    <t>Do you want to use the historical growth rate?</t>
  </si>
  <si>
    <t>If yes, enter EBIT  from five years ago =</t>
  </si>
  <si>
    <t>Do you have an outside estimate of growth ?</t>
  </si>
  <si>
    <t>If yes, enter the estimated growth:</t>
  </si>
  <si>
    <t>Last year</t>
  </si>
  <si>
    <t>Do you want to calculate the growth rate from fundamentals?</t>
  </si>
  <si>
    <t>The following will be the inputs to the fundamental growth formulation:</t>
  </si>
  <si>
    <t>ROC =</t>
  </si>
  <si>
    <t>Reinv. Rate =</t>
  </si>
  <si>
    <t>Do you want to change any of these inputs for the high growth period?</t>
  </si>
  <si>
    <t>If yes, specify the values for these inputs (Please enter all variables)</t>
  </si>
  <si>
    <t>Specify weights to be assigned to each of these growth rates:</t>
  </si>
  <si>
    <t>Historical Growth Rate  =</t>
  </si>
  <si>
    <t>Outside Prediction of Growth =</t>
  </si>
  <si>
    <t>Fundamental Estimate of Growth =</t>
  </si>
  <si>
    <t>Enter growth rate in stable growth period?</t>
  </si>
  <si>
    <t>Beta</t>
  </si>
  <si>
    <t>Will the beta to change in the stable period?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</si>
</sst>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8"/>
      <name val="Times"/>
      <family val="0"/>
    </font>
    <font>
      <sz val="14"/>
      <name val="Times"/>
      <family val="0"/>
    </font>
    <font>
      <sz val="12"/>
      <name val="Times"/>
      <family val="0"/>
    </font>
    <font>
      <sz val="10"/>
      <name val="Times"/>
      <family val="0"/>
    </font>
    <font>
      <b/>
      <i/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sz val="9"/>
      <name val="Geneva"/>
      <family val="0"/>
    </font>
    <font>
      <b/>
      <sz val="14"/>
      <name val="Times"/>
      <family val="0"/>
    </font>
    <font>
      <sz val="12"/>
      <name val="Geneva"/>
      <family val="0"/>
    </font>
    <font>
      <b/>
      <sz val="9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8" fontId="7" fillId="0" borderId="0" xfId="16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8" fontId="7" fillId="0" borderId="7" xfId="16" applyFont="1" applyBorder="1" applyAlignment="1">
      <alignment horizontal="center"/>
    </xf>
    <xf numFmtId="8" fontId="8" fillId="0" borderId="0" xfId="16" applyFont="1" applyAlignment="1">
      <alignment horizontal="center"/>
    </xf>
    <xf numFmtId="0" fontId="8" fillId="0" borderId="0" xfId="0" applyFont="1" applyAlignment="1">
      <alignment horizontal="center"/>
    </xf>
    <xf numFmtId="8" fontId="7" fillId="0" borderId="0" xfId="16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7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0" fontId="7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8" fontId="7" fillId="0" borderId="7" xfId="0" applyNumberFormat="1" applyFont="1" applyBorder="1" applyAlignment="1">
      <alignment horizontal="center"/>
    </xf>
    <xf numFmtId="8" fontId="7" fillId="0" borderId="8" xfId="16" applyFont="1" applyBorder="1" applyAlignment="1">
      <alignment horizontal="center"/>
    </xf>
    <xf numFmtId="0" fontId="10" fillId="0" borderId="0" xfId="0" applyFont="1" applyAlignment="1">
      <alignment horizontal="center"/>
    </xf>
    <xf numFmtId="10" fontId="10" fillId="0" borderId="7" xfId="0" applyNumberFormat="1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8" fontId="9" fillId="0" borderId="0" xfId="16" applyFont="1" applyAlignment="1">
      <alignment horizontal="center"/>
    </xf>
    <xf numFmtId="8" fontId="9" fillId="0" borderId="7" xfId="16" applyFont="1" applyBorder="1" applyAlignment="1">
      <alignment horizontal="center"/>
    </xf>
    <xf numFmtId="8" fontId="9" fillId="0" borderId="8" xfId="16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/>
    </xf>
    <xf numFmtId="10" fontId="7" fillId="2" borderId="7" xfId="0" applyNumberFormat="1" applyFont="1" applyFill="1" applyBorder="1" applyAlignment="1">
      <alignment horizontal="center"/>
    </xf>
    <xf numFmtId="8" fontId="7" fillId="2" borderId="7" xfId="16" applyFont="1" applyFill="1" applyBorder="1" applyAlignment="1">
      <alignment horizontal="center"/>
    </xf>
    <xf numFmtId="10" fontId="7" fillId="2" borderId="7" xfId="16" applyNumberFormat="1" applyFont="1" applyFill="1" applyBorder="1" applyAlignment="1">
      <alignment horizontal="center"/>
    </xf>
    <xf numFmtId="2" fontId="7" fillId="2" borderId="7" xfId="16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7" xfId="0" applyNumberFormat="1" applyFont="1" applyFill="1" applyBorder="1" applyAlignment="1">
      <alignment horizontal="center"/>
    </xf>
    <xf numFmtId="10" fontId="7" fillId="2" borderId="7" xfId="17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8" fontId="7" fillId="2" borderId="7" xfId="16" applyFont="1" applyFill="1" applyBorder="1" applyAlignment="1">
      <alignment/>
    </xf>
    <xf numFmtId="0" fontId="13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showGridLines="0" tabSelected="1" workbookViewId="0" topLeftCell="A125">
      <selection activeCell="F157" sqref="F157"/>
    </sheetView>
  </sheetViews>
  <sheetFormatPr defaultColWidth="11.00390625" defaultRowHeight="12.75"/>
  <cols>
    <col min="1" max="1" width="2.75390625" style="0" customWidth="1"/>
    <col min="2" max="8" width="12.75390625" style="0" customWidth="1"/>
  </cols>
  <sheetData>
    <row r="1" spans="2:9" ht="19.5" customHeight="1">
      <c r="B1" s="1" t="s">
        <v>6</v>
      </c>
      <c r="C1" s="2"/>
      <c r="D1" s="2"/>
      <c r="E1" s="2"/>
      <c r="F1" s="2"/>
      <c r="G1" s="2"/>
      <c r="H1" s="2"/>
      <c r="I1" s="2"/>
    </row>
    <row r="2" spans="2:9" ht="19.5" customHeight="1" thickBot="1">
      <c r="B2" s="1"/>
      <c r="C2" s="2"/>
      <c r="D2" s="2"/>
      <c r="E2" s="2"/>
      <c r="F2" s="2"/>
      <c r="G2" s="2"/>
      <c r="H2" s="2"/>
      <c r="I2" s="2"/>
    </row>
    <row r="3" spans="2:9" ht="19.5" customHeight="1">
      <c r="B3" s="3" t="s">
        <v>7</v>
      </c>
      <c r="C3" s="4"/>
      <c r="D3" s="5"/>
      <c r="E3" s="5"/>
      <c r="F3" s="5"/>
      <c r="G3" s="5"/>
      <c r="H3" s="6"/>
      <c r="I3" s="2"/>
    </row>
    <row r="4" spans="2:9" ht="19.5" customHeight="1" thickBot="1">
      <c r="B4" s="3" t="s">
        <v>8</v>
      </c>
      <c r="C4" s="7"/>
      <c r="D4" s="8"/>
      <c r="E4" s="8"/>
      <c r="F4" s="8"/>
      <c r="G4" s="8"/>
      <c r="H4" s="9"/>
      <c r="I4" s="2"/>
    </row>
    <row r="5" spans="1:8" ht="19.5" customHeight="1">
      <c r="A5" s="59" t="s">
        <v>43</v>
      </c>
      <c r="B5" s="59"/>
      <c r="C5" s="59"/>
      <c r="D5" s="59"/>
      <c r="E5" s="59"/>
      <c r="F5" s="59"/>
      <c r="G5" s="59"/>
      <c r="H5" s="59"/>
    </row>
    <row r="6" s="12" customFormat="1" ht="19.5" customHeight="1">
      <c r="B6" s="15" t="s">
        <v>9</v>
      </c>
    </row>
    <row r="7" s="12" customFormat="1" ht="19.5" customHeight="1">
      <c r="B7" s="12" t="s">
        <v>10</v>
      </c>
    </row>
    <row r="8" s="12" customFormat="1" ht="19.5" customHeight="1">
      <c r="B8" s="12" t="s">
        <v>11</v>
      </c>
    </row>
    <row r="9" s="12" customFormat="1" ht="19.5" customHeight="1"/>
    <row r="10" s="12" customFormat="1" ht="19.5" customHeight="1">
      <c r="B10" s="15" t="s">
        <v>12</v>
      </c>
    </row>
    <row r="11" s="12" customFormat="1" ht="19.5" customHeight="1">
      <c r="B11" s="12" t="s">
        <v>13</v>
      </c>
    </row>
    <row r="12" s="12" customFormat="1" ht="19.5" customHeight="1">
      <c r="B12" s="12" t="s">
        <v>14</v>
      </c>
    </row>
    <row r="13" s="12" customFormat="1" ht="19.5" customHeight="1">
      <c r="B13" s="12" t="s">
        <v>15</v>
      </c>
    </row>
    <row r="14" s="12" customFormat="1" ht="19.5" customHeight="1">
      <c r="B14" s="12" t="s">
        <v>16</v>
      </c>
    </row>
    <row r="15" s="12" customFormat="1" ht="19.5" customHeight="1">
      <c r="B15" s="12" t="s">
        <v>17</v>
      </c>
    </row>
    <row r="16" s="12" customFormat="1" ht="19.5" customHeight="1"/>
    <row r="17" s="12" customFormat="1" ht="19.5" customHeight="1"/>
    <row r="18" s="12" customFormat="1" ht="19.5" customHeight="1"/>
    <row r="19" spans="1:9" s="12" customFormat="1" ht="19.5" customHeight="1">
      <c r="A19" s="13"/>
      <c r="B19" s="20" t="s">
        <v>18</v>
      </c>
      <c r="C19" s="13"/>
      <c r="D19" s="13"/>
      <c r="E19" s="13"/>
      <c r="F19" s="13"/>
      <c r="G19" s="13"/>
      <c r="H19" s="13"/>
      <c r="I19" s="13"/>
    </row>
    <row r="20" spans="2:5" s="12" customFormat="1" ht="19.5" customHeight="1">
      <c r="B20" s="12" t="s">
        <v>19</v>
      </c>
      <c r="D20" s="46">
        <v>5186</v>
      </c>
      <c r="E20"/>
    </row>
    <row r="21" spans="2:5" s="12" customFormat="1" ht="19.5" customHeight="1">
      <c r="B21" s="12" t="s">
        <v>83</v>
      </c>
      <c r="D21" s="46">
        <v>118</v>
      </c>
      <c r="E21"/>
    </row>
    <row r="22" spans="2:5" s="12" customFormat="1" ht="19.5" customHeight="1">
      <c r="B22" s="12" t="s">
        <v>84</v>
      </c>
      <c r="D22" s="46">
        <v>2152</v>
      </c>
      <c r="E22"/>
    </row>
    <row r="23" spans="2:5" s="12" customFormat="1" ht="19.5" customHeight="1">
      <c r="B23" s="12" t="s">
        <v>85</v>
      </c>
      <c r="D23" s="46">
        <v>1228</v>
      </c>
      <c r="E23"/>
    </row>
    <row r="24" spans="2:5" s="12" customFormat="1" ht="19.5" customHeight="1">
      <c r="B24" s="12" t="s">
        <v>86</v>
      </c>
      <c r="D24" s="47">
        <v>0.2849</v>
      </c>
      <c r="E24"/>
    </row>
    <row r="25" spans="2:5" s="12" customFormat="1" ht="19.5" customHeight="1">
      <c r="B25" s="12" t="s">
        <v>88</v>
      </c>
      <c r="D25" s="46">
        <v>16701</v>
      </c>
      <c r="E25"/>
    </row>
    <row r="26" spans="2:5" s="12" customFormat="1" ht="19.5" customHeight="1">
      <c r="B26" s="12" t="s">
        <v>90</v>
      </c>
      <c r="D26" s="46">
        <v>3755</v>
      </c>
      <c r="E26"/>
    </row>
    <row r="27" spans="2:5" s="12" customFormat="1" ht="19.5" customHeight="1">
      <c r="B27" s="12" t="s">
        <v>91</v>
      </c>
      <c r="D27" s="46">
        <v>499</v>
      </c>
      <c r="E27" s="57" t="s">
        <v>124</v>
      </c>
    </row>
    <row r="28" spans="2:5" s="12" customFormat="1" ht="19.5" customHeight="1">
      <c r="B28" s="12" t="s">
        <v>23</v>
      </c>
      <c r="D28" s="46">
        <v>500</v>
      </c>
      <c r="E28" s="57"/>
    </row>
    <row r="29" spans="2:5" s="12" customFormat="1" ht="19.5" customHeight="1">
      <c r="B29" s="12" t="s">
        <v>25</v>
      </c>
      <c r="D29" s="46">
        <v>1500</v>
      </c>
      <c r="E29" s="57"/>
    </row>
    <row r="30" spans="2:5" s="12" customFormat="1" ht="19.5" customHeight="1">
      <c r="B30" s="12" t="s">
        <v>92</v>
      </c>
      <c r="D30" s="46">
        <v>1479</v>
      </c>
      <c r="E30" s="58">
        <v>1315</v>
      </c>
    </row>
    <row r="31" spans="2:5" s="12" customFormat="1" ht="19.5" customHeight="1">
      <c r="B31" s="12" t="s">
        <v>93</v>
      </c>
      <c r="D31" s="46">
        <v>12941</v>
      </c>
      <c r="E31" s="58">
        <v>12156</v>
      </c>
    </row>
    <row r="32" spans="4:5" s="12" customFormat="1" ht="19.5" customHeight="1">
      <c r="D32" s="18"/>
      <c r="E32" s="17"/>
    </row>
    <row r="33" spans="2:5" s="14" customFormat="1" ht="19.5" customHeight="1">
      <c r="B33" s="14" t="s">
        <v>94</v>
      </c>
      <c r="D33" s="22"/>
      <c r="E33" s="23"/>
    </row>
    <row r="34" spans="2:7" s="12" customFormat="1" ht="19.5" customHeight="1">
      <c r="B34" s="12" t="s">
        <v>95</v>
      </c>
      <c r="F34" s="46" t="s">
        <v>96</v>
      </c>
      <c r="G34" s="17" t="s">
        <v>97</v>
      </c>
    </row>
    <row r="35" spans="6:7" s="12" customFormat="1" ht="19.5" customHeight="1">
      <c r="F35" s="24"/>
      <c r="G35" s="17"/>
    </row>
    <row r="36" spans="2:7" s="12" customFormat="1" ht="19.5" customHeight="1">
      <c r="B36" s="12" t="s">
        <v>98</v>
      </c>
      <c r="F36" s="46">
        <v>125.5</v>
      </c>
      <c r="G36" s="17" t="s">
        <v>82</v>
      </c>
    </row>
    <row r="37" spans="2:7" s="12" customFormat="1" ht="19.5" customHeight="1">
      <c r="B37" s="12" t="s">
        <v>99</v>
      </c>
      <c r="F37" s="48">
        <v>993.57</v>
      </c>
      <c r="G37" s="17" t="s">
        <v>100</v>
      </c>
    </row>
    <row r="38" spans="2:7" s="12" customFormat="1" ht="19.5" customHeight="1">
      <c r="B38" s="12" t="s">
        <v>101</v>
      </c>
      <c r="F38" s="46">
        <v>1822</v>
      </c>
      <c r="G38" s="17" t="s">
        <v>89</v>
      </c>
    </row>
    <row r="39" spans="4:5" s="12" customFormat="1" ht="19.5" customHeight="1">
      <c r="D39" s="18"/>
      <c r="E39" s="17"/>
    </row>
    <row r="40" spans="2:7" s="12" customFormat="1" ht="19.5" customHeight="1">
      <c r="B40" s="12" t="s">
        <v>102</v>
      </c>
      <c r="D40" s="18"/>
      <c r="E40" s="17"/>
      <c r="F40" s="50" t="s">
        <v>108</v>
      </c>
      <c r="G40" s="17" t="s">
        <v>103</v>
      </c>
    </row>
    <row r="41" spans="2:7" s="12" customFormat="1" ht="19.5" customHeight="1">
      <c r="B41" s="12" t="s">
        <v>104</v>
      </c>
      <c r="D41" s="18"/>
      <c r="E41" s="17"/>
      <c r="F41" s="49"/>
      <c r="G41" s="17" t="s">
        <v>87</v>
      </c>
    </row>
    <row r="42" spans="4:5" s="12" customFormat="1" ht="19.5" customHeight="1">
      <c r="D42" s="18"/>
      <c r="E42" s="17"/>
    </row>
    <row r="43" spans="2:6" s="12" customFormat="1" ht="19.5" customHeight="1">
      <c r="B43" s="12" t="s">
        <v>105</v>
      </c>
      <c r="E43" s="52">
        <v>5</v>
      </c>
      <c r="F43" s="17" t="s">
        <v>106</v>
      </c>
    </row>
    <row r="44" spans="5:6" s="12" customFormat="1" ht="19.5" customHeight="1">
      <c r="E44" s="25"/>
      <c r="F44" s="17"/>
    </row>
    <row r="45" spans="2:6" s="12" customFormat="1" ht="19.5" customHeight="1">
      <c r="B45" s="12" t="s">
        <v>107</v>
      </c>
      <c r="E45" s="25"/>
      <c r="F45" s="50" t="s">
        <v>108</v>
      </c>
    </row>
    <row r="46" spans="2:6" s="12" customFormat="1" ht="19.5" customHeight="1">
      <c r="B46" s="12" t="s">
        <v>109</v>
      </c>
      <c r="E46" s="25"/>
      <c r="F46" s="51"/>
    </row>
    <row r="47" s="12" customFormat="1" ht="19.5" customHeight="1"/>
    <row r="48" s="12" customFormat="1" ht="19.5" customHeight="1">
      <c r="B48" s="14" t="s">
        <v>110</v>
      </c>
    </row>
    <row r="49" spans="2:6" s="12" customFormat="1" ht="19.5" customHeight="1">
      <c r="B49" s="12" t="s">
        <v>111</v>
      </c>
      <c r="E49" s="53" t="s">
        <v>108</v>
      </c>
      <c r="F49" s="17" t="s">
        <v>103</v>
      </c>
    </row>
    <row r="50" spans="2:6" s="12" customFormat="1" ht="19.5" customHeight="1">
      <c r="B50" s="12" t="s">
        <v>112</v>
      </c>
      <c r="E50" s="45"/>
      <c r="F50" s="17" t="s">
        <v>87</v>
      </c>
    </row>
    <row r="51" spans="2:6" s="12" customFormat="1" ht="19.5" customHeight="1">
      <c r="B51" s="16" t="s">
        <v>113</v>
      </c>
      <c r="F51" s="17"/>
    </row>
    <row r="52" spans="2:6" s="12" customFormat="1" ht="19.5" customHeight="1">
      <c r="B52" s="12" t="s">
        <v>114</v>
      </c>
      <c r="D52" s="54">
        <v>0.8</v>
      </c>
      <c r="F52" s="17"/>
    </row>
    <row r="53" spans="2:6" s="12" customFormat="1" ht="19.5" customHeight="1">
      <c r="B53" s="12" t="s">
        <v>115</v>
      </c>
      <c r="D53" s="45">
        <v>0.053</v>
      </c>
      <c r="E53" s="17" t="s">
        <v>87</v>
      </c>
      <c r="F53" s="17"/>
    </row>
    <row r="54" spans="2:6" s="12" customFormat="1" ht="19.5" customHeight="1">
      <c r="B54" s="12" t="s">
        <v>116</v>
      </c>
      <c r="D54" s="45">
        <v>0.055</v>
      </c>
      <c r="E54" s="17" t="s">
        <v>87</v>
      </c>
      <c r="F54" s="17"/>
    </row>
    <row r="55" spans="4:6" s="12" customFormat="1" ht="19.5" customHeight="1">
      <c r="D55" s="27"/>
      <c r="E55" s="17"/>
      <c r="F55" s="17"/>
    </row>
    <row r="56" spans="2:6" s="12" customFormat="1" ht="19.5" customHeight="1">
      <c r="B56" s="12" t="s">
        <v>117</v>
      </c>
      <c r="D56" s="27"/>
      <c r="E56" s="45">
        <v>0.055</v>
      </c>
      <c r="F56" s="17" t="s">
        <v>118</v>
      </c>
    </row>
    <row r="57" spans="4:6" s="12" customFormat="1" ht="19.5" customHeight="1">
      <c r="D57" s="27"/>
      <c r="E57" s="17"/>
      <c r="F57" s="17"/>
    </row>
    <row r="58" spans="2:7" s="12" customFormat="1" ht="19.5" customHeight="1">
      <c r="B58" s="14" t="s">
        <v>119</v>
      </c>
      <c r="F58" s="17"/>
      <c r="G58"/>
    </row>
    <row r="59" spans="2:6" s="12" customFormat="1" ht="19.5" customHeight="1">
      <c r="B59" s="12" t="s">
        <v>120</v>
      </c>
      <c r="E59" s="50" t="s">
        <v>108</v>
      </c>
      <c r="F59" s="17" t="s">
        <v>103</v>
      </c>
    </row>
    <row r="60" spans="2:6" s="12" customFormat="1" ht="19.5" customHeight="1">
      <c r="B60" s="12" t="s">
        <v>121</v>
      </c>
      <c r="E60" s="46">
        <v>800</v>
      </c>
      <c r="F60" s="17" t="s">
        <v>82</v>
      </c>
    </row>
    <row r="61" s="12" customFormat="1" ht="19.5" customHeight="1">
      <c r="F61" s="17"/>
    </row>
    <row r="62" spans="2:6" s="12" customFormat="1" ht="19.5" customHeight="1">
      <c r="B62" s="12" t="s">
        <v>122</v>
      </c>
      <c r="E62" s="50" t="s">
        <v>96</v>
      </c>
      <c r="F62" s="17" t="s">
        <v>103</v>
      </c>
    </row>
    <row r="63" spans="2:6" s="12" customFormat="1" ht="19.5" customHeight="1">
      <c r="B63" s="12" t="s">
        <v>123</v>
      </c>
      <c r="E63" s="55">
        <v>0.125</v>
      </c>
      <c r="F63" s="17" t="s">
        <v>87</v>
      </c>
    </row>
    <row r="64" s="12" customFormat="1" ht="19.5" customHeight="1">
      <c r="F64" s="17"/>
    </row>
    <row r="65" spans="2:7" s="12" customFormat="1" ht="19.5" customHeight="1">
      <c r="B65" s="12" t="s">
        <v>125</v>
      </c>
      <c r="F65" s="50" t="s">
        <v>96</v>
      </c>
      <c r="G65" s="17" t="s">
        <v>103</v>
      </c>
    </row>
    <row r="66" spans="2:6" s="12" customFormat="1" ht="19.5" customHeight="1">
      <c r="B66" s="16" t="s">
        <v>126</v>
      </c>
      <c r="F66" s="17"/>
    </row>
    <row r="67" spans="2:6" s="12" customFormat="1" ht="19.5" customHeight="1">
      <c r="B67" s="12" t="s">
        <v>127</v>
      </c>
      <c r="C67" s="45">
        <f>(D20*(1-D24))/(E30+E31)</f>
        <v>0.27529571672481634</v>
      </c>
      <c r="E67" s="28"/>
      <c r="F67" s="17"/>
    </row>
    <row r="68" spans="2:6" s="12" customFormat="1" ht="19.5" customHeight="1">
      <c r="B68" s="12" t="s">
        <v>128</v>
      </c>
      <c r="C68" s="45">
        <f>(D22-D23+D27)/(D20*(1-D24))</f>
        <v>0.3837122017190414</v>
      </c>
      <c r="E68" s="28"/>
      <c r="F68" s="17"/>
    </row>
    <row r="69" spans="2:7" s="12" customFormat="1" ht="19.5" customHeight="1">
      <c r="B69" s="12" t="s">
        <v>129</v>
      </c>
      <c r="F69" s="50" t="s">
        <v>108</v>
      </c>
      <c r="G69" s="17" t="s">
        <v>103</v>
      </c>
    </row>
    <row r="70" spans="2:6" s="12" customFormat="1" ht="19.5" customHeight="1">
      <c r="B70" s="16" t="s">
        <v>130</v>
      </c>
      <c r="F70" s="17"/>
    </row>
    <row r="71" spans="2:6" s="12" customFormat="1" ht="19.5" customHeight="1">
      <c r="B71" s="12" t="s">
        <v>127</v>
      </c>
      <c r="C71" s="45">
        <v>0.1</v>
      </c>
      <c r="E71" s="28"/>
      <c r="F71" s="17"/>
    </row>
    <row r="72" spans="2:6" s="12" customFormat="1" ht="19.5" customHeight="1">
      <c r="B72" s="12" t="s">
        <v>128</v>
      </c>
      <c r="C72" s="45">
        <v>1</v>
      </c>
      <c r="E72" s="28"/>
      <c r="F72" s="17"/>
    </row>
    <row r="73" spans="5:6" s="12" customFormat="1" ht="19.5" customHeight="1">
      <c r="E73" s="17"/>
      <c r="F73" s="17"/>
    </row>
    <row r="74" spans="2:6" s="12" customFormat="1" ht="19.5" customHeight="1">
      <c r="B74" s="16" t="s">
        <v>131</v>
      </c>
      <c r="E74" s="17"/>
      <c r="F74" s="17"/>
    </row>
    <row r="75" spans="2:6" s="12" customFormat="1" ht="19.5" customHeight="1">
      <c r="B75" s="12" t="s">
        <v>132</v>
      </c>
      <c r="E75" s="45">
        <v>0</v>
      </c>
      <c r="F75" s="17" t="s">
        <v>87</v>
      </c>
    </row>
    <row r="76" spans="2:6" s="12" customFormat="1" ht="19.5" customHeight="1">
      <c r="B76" s="12" t="s">
        <v>133</v>
      </c>
      <c r="E76" s="45">
        <v>0</v>
      </c>
      <c r="F76" s="17" t="s">
        <v>87</v>
      </c>
    </row>
    <row r="77" spans="2:6" s="12" customFormat="1" ht="19.5" customHeight="1">
      <c r="B77" s="12" t="s">
        <v>134</v>
      </c>
      <c r="E77" s="45">
        <f>1-E75-E76</f>
        <v>1</v>
      </c>
      <c r="F77" s="17" t="s">
        <v>87</v>
      </c>
    </row>
    <row r="78" s="12" customFormat="1" ht="19.5" customHeight="1"/>
    <row r="79" spans="2:6" s="12" customFormat="1" ht="19.5" customHeight="1">
      <c r="B79" s="12" t="s">
        <v>135</v>
      </c>
      <c r="E79" s="45">
        <v>0.06</v>
      </c>
      <c r="F79" s="17" t="s">
        <v>87</v>
      </c>
    </row>
    <row r="80" spans="5:6" s="12" customFormat="1" ht="19.5" customHeight="1">
      <c r="E80" s="27"/>
      <c r="F80" s="17"/>
    </row>
    <row r="81" spans="2:6" s="12" customFormat="1" ht="19.5" customHeight="1">
      <c r="B81" s="15" t="s">
        <v>136</v>
      </c>
      <c r="E81" s="29"/>
      <c r="F81" s="17"/>
    </row>
    <row r="82" spans="2:6" s="12" customFormat="1" ht="19.5" customHeight="1">
      <c r="B82" s="12" t="s">
        <v>137</v>
      </c>
      <c r="E82" s="50" t="s">
        <v>108</v>
      </c>
      <c r="F82" s="17" t="s">
        <v>103</v>
      </c>
    </row>
    <row r="83" spans="2:6" s="12" customFormat="1" ht="19.5" customHeight="1">
      <c r="B83" s="12" t="s">
        <v>26</v>
      </c>
      <c r="E83" s="56">
        <v>1</v>
      </c>
      <c r="F83" s="17"/>
    </row>
    <row r="84" spans="5:6" s="12" customFormat="1" ht="19.5" customHeight="1">
      <c r="E84" s="17"/>
      <c r="F84" s="17"/>
    </row>
    <row r="85" spans="2:6" s="12" customFormat="1" ht="19.5" customHeight="1">
      <c r="B85" s="12" t="s">
        <v>27</v>
      </c>
      <c r="E85" s="50" t="s">
        <v>108</v>
      </c>
      <c r="F85" s="17" t="s">
        <v>103</v>
      </c>
    </row>
    <row r="86" spans="2:6" s="12" customFormat="1" ht="19.5" customHeight="1">
      <c r="B86" s="12" t="s">
        <v>28</v>
      </c>
      <c r="E86" s="45"/>
      <c r="F86" s="17" t="s">
        <v>118</v>
      </c>
    </row>
    <row r="87" spans="5:6" s="12" customFormat="1" ht="19.5" customHeight="1">
      <c r="E87" s="17"/>
      <c r="F87" s="17"/>
    </row>
    <row r="88" spans="2:6" s="15" customFormat="1" ht="19.5" customHeight="1">
      <c r="B88" s="15" t="s">
        <v>29</v>
      </c>
      <c r="E88" s="30"/>
      <c r="F88" s="30"/>
    </row>
    <row r="89" spans="2:7" s="12" customFormat="1" ht="19.5" customHeight="1">
      <c r="B89" s="12" t="s">
        <v>30</v>
      </c>
      <c r="E89" s="17"/>
      <c r="F89" s="50" t="s">
        <v>96</v>
      </c>
      <c r="G89" s="17" t="s">
        <v>103</v>
      </c>
    </row>
    <row r="90" spans="2:6" s="12" customFormat="1" ht="19.5" customHeight="1">
      <c r="B90" s="12" t="s">
        <v>31</v>
      </c>
      <c r="E90" s="17"/>
      <c r="F90" s="17"/>
    </row>
    <row r="91" spans="3:6" s="12" customFormat="1" ht="19.5" customHeight="1">
      <c r="C91" s="17" t="s">
        <v>32</v>
      </c>
      <c r="D91" s="17" t="s">
        <v>33</v>
      </c>
      <c r="E91" s="17" t="s">
        <v>34</v>
      </c>
      <c r="F91" s="17"/>
    </row>
    <row r="92" spans="2:6" s="12" customFormat="1" ht="19.5" customHeight="1">
      <c r="B92" s="12" t="s">
        <v>35</v>
      </c>
      <c r="C92" s="51">
        <v>0.06</v>
      </c>
      <c r="D92" s="51">
        <v>0.06</v>
      </c>
      <c r="E92" s="51">
        <v>0.06</v>
      </c>
      <c r="F92" s="17" t="s">
        <v>87</v>
      </c>
    </row>
    <row r="93" spans="2:6" s="12" customFormat="1" ht="19.5" customHeight="1">
      <c r="B93" s="12" t="s">
        <v>36</v>
      </c>
      <c r="C93" s="51" t="s">
        <v>37</v>
      </c>
      <c r="D93" s="51" t="s">
        <v>37</v>
      </c>
      <c r="E93" s="51">
        <f>E79</f>
        <v>0.06</v>
      </c>
      <c r="F93" s="17" t="s">
        <v>87</v>
      </c>
    </row>
    <row r="94" spans="5:6" s="12" customFormat="1" ht="19.5" customHeight="1">
      <c r="E94" s="17"/>
      <c r="F94" s="17"/>
    </row>
    <row r="95" spans="2:7" s="12" customFormat="1" ht="19.5" customHeight="1">
      <c r="B95" s="12" t="s">
        <v>38</v>
      </c>
      <c r="E95" s="17"/>
      <c r="F95" s="50" t="s">
        <v>96</v>
      </c>
      <c r="G95" s="17" t="s">
        <v>103</v>
      </c>
    </row>
    <row r="96" spans="2:6" s="12" customFormat="1" ht="19.5" customHeight="1">
      <c r="B96" s="12" t="s">
        <v>39</v>
      </c>
      <c r="E96" s="51"/>
      <c r="F96" s="17" t="s">
        <v>87</v>
      </c>
    </row>
    <row r="97" spans="5:6" s="12" customFormat="1" ht="19.5" customHeight="1">
      <c r="E97" s="17"/>
      <c r="F97" s="17"/>
    </row>
    <row r="98" spans="2:6" s="12" customFormat="1" ht="19.5" customHeight="1">
      <c r="B98" s="16" t="s">
        <v>40</v>
      </c>
      <c r="E98" s="17"/>
      <c r="F98" s="17"/>
    </row>
    <row r="99" spans="2:7" s="12" customFormat="1" ht="19.5" customHeight="1">
      <c r="B99" s="12" t="s">
        <v>41</v>
      </c>
      <c r="E99" s="29"/>
      <c r="F99" s="50" t="s">
        <v>108</v>
      </c>
      <c r="G99" s="17" t="s">
        <v>103</v>
      </c>
    </row>
    <row r="100" spans="2:7" s="12" customFormat="1" ht="19.5" customHeight="1">
      <c r="B100" s="12" t="s">
        <v>20</v>
      </c>
      <c r="E100" s="29"/>
      <c r="F100" s="50" t="s">
        <v>96</v>
      </c>
      <c r="G100" s="17"/>
    </row>
    <row r="101" spans="2:7" s="12" customFormat="1" ht="19.5" customHeight="1">
      <c r="B101" s="12" t="s">
        <v>21</v>
      </c>
      <c r="E101" s="29"/>
      <c r="F101" s="51">
        <v>0.12</v>
      </c>
      <c r="G101" s="17"/>
    </row>
    <row r="102" spans="2:7" s="12" customFormat="1" ht="19.5" customHeight="1">
      <c r="B102" s="12" t="s">
        <v>42</v>
      </c>
      <c r="E102" s="29"/>
      <c r="F102" s="51">
        <v>1.2</v>
      </c>
      <c r="G102" s="17" t="s">
        <v>87</v>
      </c>
    </row>
    <row r="103" spans="5:7" s="12" customFormat="1" ht="19.5" customHeight="1">
      <c r="E103" s="29"/>
      <c r="F103" s="29"/>
      <c r="G103" s="17"/>
    </row>
    <row r="104" spans="5:7" s="12" customFormat="1" ht="19.5" customHeight="1">
      <c r="E104" s="29"/>
      <c r="F104" s="29"/>
      <c r="G104" s="17"/>
    </row>
    <row r="105" spans="1:9" s="44" customFormat="1" ht="19.5" customHeight="1">
      <c r="A105" s="3"/>
      <c r="B105" s="43" t="s">
        <v>44</v>
      </c>
      <c r="C105" s="3"/>
      <c r="D105" s="3"/>
      <c r="E105" s="3"/>
      <c r="F105" s="3"/>
      <c r="G105" s="3"/>
      <c r="H105" s="3"/>
      <c r="I105" s="3"/>
    </row>
    <row r="106" spans="2:6" s="12" customFormat="1" ht="19.5" customHeight="1">
      <c r="B106" s="12" t="s">
        <v>45</v>
      </c>
      <c r="D106" s="26">
        <f>IF(E49="Yes",E50,D53+D52*D54)</f>
        <v>0.097</v>
      </c>
      <c r="E106" s="17"/>
      <c r="F106" s="17"/>
    </row>
    <row r="107" spans="2:6" s="12" customFormat="1" ht="19.5" customHeight="1">
      <c r="B107" s="12" t="s">
        <v>46</v>
      </c>
      <c r="D107" s="26">
        <f>IF(F34="Yes",F36*F37/(F38+F36*F37),IF(F40="Yes",D31/(D30+D31),1-F41))</f>
        <v>0.9855985496111194</v>
      </c>
      <c r="E107" s="17"/>
      <c r="F107" s="17"/>
    </row>
    <row r="108" spans="2:6" s="12" customFormat="1" ht="19.5" customHeight="1">
      <c r="B108" s="12" t="s">
        <v>47</v>
      </c>
      <c r="D108" s="26">
        <f>E56*(1-D24)</f>
        <v>0.039330500000000004</v>
      </c>
      <c r="E108" s="17"/>
      <c r="F108" s="17"/>
    </row>
    <row r="109" spans="2:6" s="12" customFormat="1" ht="19.5" customHeight="1">
      <c r="B109" s="12" t="s">
        <v>48</v>
      </c>
      <c r="D109" s="31">
        <f>1-D107</f>
        <v>0.014401450388880632</v>
      </c>
      <c r="E109" s="17"/>
      <c r="F109" s="17"/>
    </row>
    <row r="110" spans="2:6" s="12" customFormat="1" ht="19.5" customHeight="1">
      <c r="B110" s="12" t="s">
        <v>49</v>
      </c>
      <c r="D110" s="26">
        <f>D106*D107+D108*D109</f>
        <v>0.09616947555679844</v>
      </c>
      <c r="E110" s="17"/>
      <c r="F110" s="17"/>
    </row>
    <row r="111" spans="4:6" s="12" customFormat="1" ht="19.5" customHeight="1">
      <c r="D111" s="32"/>
      <c r="E111" s="17"/>
      <c r="F111" s="17"/>
    </row>
    <row r="112" spans="5:6" s="12" customFormat="1" ht="19.5" customHeight="1">
      <c r="E112" s="17"/>
      <c r="F112" s="17"/>
    </row>
    <row r="113" spans="2:7" s="12" customFormat="1" ht="19.5" customHeight="1">
      <c r="B113" s="12" t="s">
        <v>50</v>
      </c>
      <c r="E113" s="33">
        <f>D20*(1-D24)</f>
        <v>3708.5086000000006</v>
      </c>
      <c r="F113" s="17"/>
      <c r="G113" s="17"/>
    </row>
    <row r="114" spans="2:6" s="12" customFormat="1" ht="19.5" customHeight="1">
      <c r="B114" s="12" t="s">
        <v>51</v>
      </c>
      <c r="D114" s="19"/>
      <c r="E114" s="21">
        <f>(D22-D23)</f>
        <v>924</v>
      </c>
      <c r="F114" s="17"/>
    </row>
    <row r="115" spans="2:6" s="12" customFormat="1" ht="19.5" customHeight="1">
      <c r="B115" s="12" t="s">
        <v>52</v>
      </c>
      <c r="D115" s="19"/>
      <c r="E115" s="21">
        <f>D27</f>
        <v>499</v>
      </c>
      <c r="F115" s="17"/>
    </row>
    <row r="116" spans="2:6" s="12" customFormat="1" ht="19.5" customHeight="1">
      <c r="B116" s="12" t="s">
        <v>53</v>
      </c>
      <c r="D116" s="19"/>
      <c r="E116" s="34">
        <f>E113-E114-E115</f>
        <v>2285.5086000000006</v>
      </c>
      <c r="F116" s="17"/>
    </row>
    <row r="117" spans="5:6" s="12" customFormat="1" ht="19.5" customHeight="1">
      <c r="E117" s="17"/>
      <c r="F117" s="17"/>
    </row>
    <row r="118" spans="2:6" s="12" customFormat="1" ht="19.5" customHeight="1">
      <c r="B118" s="16" t="s">
        <v>54</v>
      </c>
      <c r="E118" s="17"/>
      <c r="F118" s="17"/>
    </row>
    <row r="119" spans="4:6" s="16" customFormat="1" ht="19.5" customHeight="1">
      <c r="D119" s="16" t="s">
        <v>55</v>
      </c>
      <c r="E119" s="35" t="s">
        <v>56</v>
      </c>
      <c r="F119" s="35"/>
    </row>
    <row r="120" spans="2:6" s="12" customFormat="1" ht="19.5" customHeight="1">
      <c r="B120" s="12" t="s">
        <v>57</v>
      </c>
      <c r="D120" s="26">
        <f>(D20/E60)^(0.2)-1</f>
        <v>0.453277350548531</v>
      </c>
      <c r="E120" s="26">
        <f>E75</f>
        <v>0</v>
      </c>
      <c r="F120" s="17"/>
    </row>
    <row r="121" spans="2:6" s="12" customFormat="1" ht="19.5" customHeight="1">
      <c r="B121" s="12" t="s">
        <v>58</v>
      </c>
      <c r="D121" s="26">
        <f>E63</f>
        <v>0.125</v>
      </c>
      <c r="E121" s="26">
        <f>E76</f>
        <v>0</v>
      </c>
      <c r="F121" s="17"/>
    </row>
    <row r="122" spans="2:6" s="12" customFormat="1" ht="19.5" customHeight="1">
      <c r="B122" s="12" t="s">
        <v>59</v>
      </c>
      <c r="D122" s="26">
        <f>IF(F69="No",C68*C67,C72*C71)</f>
        <v>0.10563432558830081</v>
      </c>
      <c r="E122" s="26">
        <f>E77</f>
        <v>1</v>
      </c>
      <c r="F122" s="17"/>
    </row>
    <row r="123" spans="2:6" s="16" customFormat="1" ht="19.5" customHeight="1">
      <c r="B123" s="16" t="s">
        <v>60</v>
      </c>
      <c r="D123" s="36">
        <f>D120*E120+D121*E121+D122*E122</f>
        <v>0.10563432558830081</v>
      </c>
      <c r="E123" s="35"/>
      <c r="F123" s="35"/>
    </row>
    <row r="124" spans="4:6" s="16" customFormat="1" ht="19.5" customHeight="1">
      <c r="D124" s="37"/>
      <c r="E124" s="35"/>
      <c r="F124" s="35"/>
    </row>
    <row r="125" spans="2:6" s="16" customFormat="1" ht="19.5" customHeight="1">
      <c r="B125" s="16" t="s">
        <v>61</v>
      </c>
      <c r="D125" s="37"/>
      <c r="E125" s="35"/>
      <c r="F125" s="35"/>
    </row>
    <row r="126" spans="2:6" s="16" customFormat="1" ht="19.5" customHeight="1">
      <c r="B126" s="12"/>
      <c r="D126" s="37" t="s">
        <v>35</v>
      </c>
      <c r="E126" s="35" t="s">
        <v>36</v>
      </c>
      <c r="F126" s="35"/>
    </row>
    <row r="127" spans="2:6" s="16" customFormat="1" ht="19.5" customHeight="1">
      <c r="B127" s="12" t="s">
        <v>62</v>
      </c>
      <c r="D127" s="26">
        <f>IF(F89="Yes",D123,C92)</f>
        <v>0.10563432558830081</v>
      </c>
      <c r="E127" s="26" t="str">
        <f>IF(G89="Yes",E140,C93)</f>
        <v>Do not enter</v>
      </c>
      <c r="F127" s="35"/>
    </row>
    <row r="128" spans="2:6" s="16" customFormat="1" ht="19.5" customHeight="1">
      <c r="B128" s="12" t="s">
        <v>63</v>
      </c>
      <c r="D128" s="26">
        <f>IF(F89="Yes",D123,D92)</f>
        <v>0.10563432558830081</v>
      </c>
      <c r="E128" s="26" t="str">
        <f>IF(G89="Yes",E140,D93)</f>
        <v>Do not enter</v>
      </c>
      <c r="F128" s="35"/>
    </row>
    <row r="129" spans="2:6" s="12" customFormat="1" ht="19.5" customHeight="1">
      <c r="B129" s="12" t="s">
        <v>64</v>
      </c>
      <c r="D129" s="31">
        <f>IF(F89="Yes",D123,E92)</f>
        <v>0.10563432558830081</v>
      </c>
      <c r="E129" s="26">
        <f>IF(G89="Yes",E140,E93)</f>
        <v>0.06</v>
      </c>
      <c r="F129" s="17"/>
    </row>
    <row r="130" spans="4:6" s="12" customFormat="1" ht="19.5" customHeight="1">
      <c r="D130" s="28"/>
      <c r="E130" s="27"/>
      <c r="F130" s="17"/>
    </row>
    <row r="131" spans="2:6" s="12" customFormat="1" ht="19.5" customHeight="1">
      <c r="B131" s="12" t="s">
        <v>65</v>
      </c>
      <c r="D131" s="28"/>
      <c r="E131" s="26">
        <f>IF(F95="Yes",(IF(D26/D25&lt;0,0,D26/D25)),E96)</f>
        <v>0.22483683611759775</v>
      </c>
      <c r="F131" s="17" t="s">
        <v>66</v>
      </c>
    </row>
    <row r="132" spans="2:6" s="12" customFormat="1" ht="19.5" customHeight="1">
      <c r="B132" s="16" t="s">
        <v>67</v>
      </c>
      <c r="E132" s="27"/>
      <c r="F132" s="17"/>
    </row>
    <row r="133" spans="2:14" s="12" customFormat="1" ht="19.5" customHeight="1">
      <c r="B133" s="17"/>
      <c r="C133" s="17"/>
      <c r="D133" s="17">
        <f>IF(E43=0," ",1)</f>
        <v>1</v>
      </c>
      <c r="E133" s="17">
        <f>IF(E43=1," ",2)</f>
        <v>2</v>
      </c>
      <c r="F133" s="38">
        <f>IF(E43&lt;3," ",3)</f>
        <v>3</v>
      </c>
      <c r="G133" s="17">
        <f>IF(E43&lt;4," ",4)</f>
        <v>4</v>
      </c>
      <c r="H133" s="17">
        <f>IF(E43&lt;5," ",5)</f>
        <v>5</v>
      </c>
      <c r="I133" s="17" t="str">
        <f>IF($E$43&lt;6," ",6)</f>
        <v> </v>
      </c>
      <c r="J133" s="17" t="str">
        <f>IF($E$43&lt;7," ",7)</f>
        <v> </v>
      </c>
      <c r="K133" s="17" t="str">
        <f>IF($E$43&lt;8," ",8)</f>
        <v> </v>
      </c>
      <c r="L133" s="17" t="str">
        <f>IF($E$43&lt;9," ",9)</f>
        <v> </v>
      </c>
      <c r="M133" s="17" t="str">
        <f>IF($E$43&lt;10," ",10)</f>
        <v> </v>
      </c>
      <c r="N133" s="12" t="s">
        <v>68</v>
      </c>
    </row>
    <row r="134" spans="2:14" s="12" customFormat="1" ht="19.5" customHeight="1">
      <c r="B134" s="39" t="s">
        <v>69</v>
      </c>
      <c r="C134" s="17"/>
      <c r="D134" s="18">
        <f>IF($E$43&lt;D133," ",$E$113*(1+$D$123))</f>
        <v>4100.254404899414</v>
      </c>
      <c r="E134" s="18">
        <f aca="true" t="shared" si="0" ref="E134:M134">IF($E$43&lt;E133," ",D134*(1+$D$123))</f>
        <v>4533.382013701424</v>
      </c>
      <c r="F134" s="18">
        <f t="shared" si="0"/>
        <v>5012.262765352906</v>
      </c>
      <c r="G134" s="18">
        <f t="shared" si="0"/>
        <v>5541.729762242312</v>
      </c>
      <c r="H134" s="18">
        <f t="shared" si="0"/>
        <v>6127.126648269393</v>
      </c>
      <c r="I134" s="18" t="str">
        <f t="shared" si="0"/>
        <v> </v>
      </c>
      <c r="J134" s="18" t="str">
        <f t="shared" si="0"/>
        <v> </v>
      </c>
      <c r="K134" s="18" t="str">
        <f t="shared" si="0"/>
        <v> </v>
      </c>
      <c r="L134" s="18" t="str">
        <f t="shared" si="0"/>
        <v> </v>
      </c>
      <c r="M134" s="18" t="str">
        <f t="shared" si="0"/>
        <v> </v>
      </c>
      <c r="N134" s="18">
        <f>E113*(1+D123)^E43*(1+E140)</f>
        <v>6494.754247165559</v>
      </c>
    </row>
    <row r="135" spans="2:14" s="12" customFormat="1" ht="19.5" customHeight="1">
      <c r="B135" s="39" t="s">
        <v>70</v>
      </c>
      <c r="C135" s="30"/>
      <c r="D135" s="18">
        <f aca="true" t="shared" si="1" ref="D135:M135">IF($E$43&lt;D133," ",($D$22*(1+$D$127)^D133-$D$23*(1+$D$128)^D133))</f>
        <v>1021.6061168435897</v>
      </c>
      <c r="E135" s="18">
        <f t="shared" si="1"/>
        <v>1129.5227900132452</v>
      </c>
      <c r="F135" s="18">
        <f t="shared" si="1"/>
        <v>1248.8391681729104</v>
      </c>
      <c r="G135" s="18">
        <f t="shared" si="1"/>
        <v>1380.7594514711104</v>
      </c>
      <c r="H135" s="18">
        <f t="shared" si="1"/>
        <v>1526.6150449269337</v>
      </c>
      <c r="I135" s="18" t="str">
        <f t="shared" si="1"/>
        <v> </v>
      </c>
      <c r="J135" s="18" t="str">
        <f t="shared" si="1"/>
        <v> </v>
      </c>
      <c r="K135" s="18" t="str">
        <f t="shared" si="1"/>
        <v> </v>
      </c>
      <c r="L135" s="18" t="str">
        <f t="shared" si="1"/>
        <v> </v>
      </c>
      <c r="M135" s="18" t="str">
        <f t="shared" si="1"/>
        <v> </v>
      </c>
      <c r="N135" s="18">
        <f>IF(F99="Yes",0,IF(F100="Yes",(E140/F101)*N134-N136,(F102-1)*D23*(1+D128)^E43*(1+E140)))</f>
        <v>2875.140792822998</v>
      </c>
    </row>
    <row r="136" spans="2:14" s="12" customFormat="1" ht="19.5" customHeight="1">
      <c r="B136" s="39" t="s">
        <v>71</v>
      </c>
      <c r="C136" s="40"/>
      <c r="D136" s="18">
        <f aca="true" t="shared" si="2" ref="D136:M136">IF($E$43&lt;D133," ",($D$25*$E$131*((1+$D$129)^D133-(1+$D$129)^(D133-1))))</f>
        <v>396.6568925840694</v>
      </c>
      <c r="E136" s="18">
        <f t="shared" si="2"/>
        <v>438.557475922139</v>
      </c>
      <c r="F136" s="18">
        <f t="shared" si="2"/>
        <v>484.8841991228813</v>
      </c>
      <c r="G136" s="18">
        <f t="shared" si="2"/>
        <v>536.1046144856509</v>
      </c>
      <c r="H136" s="18">
        <f t="shared" si="2"/>
        <v>592.735663881618</v>
      </c>
      <c r="I136" s="18" t="str">
        <f t="shared" si="2"/>
        <v> </v>
      </c>
      <c r="J136" s="18" t="str">
        <f t="shared" si="2"/>
        <v> </v>
      </c>
      <c r="K136" s="18" t="str">
        <f t="shared" si="2"/>
        <v> </v>
      </c>
      <c r="L136" s="18" t="str">
        <f t="shared" si="2"/>
        <v> </v>
      </c>
      <c r="M136" s="18" t="str">
        <f t="shared" si="2"/>
        <v> </v>
      </c>
      <c r="N136" s="18">
        <f>(D25*(1+D129)^E43*(1+E129)-D25*(1+D129)^E43)*E131</f>
        <v>372.2363307597814</v>
      </c>
    </row>
    <row r="137" spans="2:14" s="12" customFormat="1" ht="19.5" customHeight="1">
      <c r="B137" s="39" t="s">
        <v>72</v>
      </c>
      <c r="C137" s="40"/>
      <c r="D137" s="18">
        <f aca="true" t="shared" si="3" ref="D137:M137">IF($E$43&lt;D133," ",D134-D135-D136)</f>
        <v>2681.991395471755</v>
      </c>
      <c r="E137" s="18">
        <f t="shared" si="3"/>
        <v>2965.3017477660396</v>
      </c>
      <c r="F137" s="18">
        <f t="shared" si="3"/>
        <v>3278.5393980571143</v>
      </c>
      <c r="G137" s="18">
        <f t="shared" si="3"/>
        <v>3624.8656962855503</v>
      </c>
      <c r="H137" s="18">
        <f t="shared" si="3"/>
        <v>4007.775939460841</v>
      </c>
      <c r="I137" s="18" t="str">
        <f t="shared" si="3"/>
        <v> </v>
      </c>
      <c r="J137" s="18" t="str">
        <f t="shared" si="3"/>
        <v> </v>
      </c>
      <c r="K137" s="18" t="str">
        <f t="shared" si="3"/>
        <v> </v>
      </c>
      <c r="L137" s="18" t="str">
        <f t="shared" si="3"/>
        <v> </v>
      </c>
      <c r="M137" s="18" t="str">
        <f t="shared" si="3"/>
        <v> </v>
      </c>
      <c r="N137" s="19">
        <f>N134-N135-N136</f>
        <v>3247.3771235827794</v>
      </c>
    </row>
    <row r="138" spans="2:13" s="12" customFormat="1" ht="19.5" customHeight="1">
      <c r="B138" s="17" t="s">
        <v>73</v>
      </c>
      <c r="C138" s="40"/>
      <c r="D138" s="40">
        <f aca="true" t="shared" si="4" ref="D138:M138">IF($E$43&lt;D133," ",D137/(1+$D$110)^D133)</f>
        <v>2446.6941064103607</v>
      </c>
      <c r="E138" s="40">
        <f t="shared" si="4"/>
        <v>2467.8200301899583</v>
      </c>
      <c r="F138" s="40">
        <f t="shared" si="4"/>
        <v>2489.128365270736</v>
      </c>
      <c r="G138" s="40">
        <f t="shared" si="4"/>
        <v>2510.620686678864</v>
      </c>
      <c r="H138" s="40">
        <f t="shared" si="4"/>
        <v>2532.298583040038</v>
      </c>
      <c r="I138" s="40" t="str">
        <f t="shared" si="4"/>
        <v> </v>
      </c>
      <c r="J138" s="40" t="str">
        <f t="shared" si="4"/>
        <v> </v>
      </c>
      <c r="K138" s="40" t="str">
        <f t="shared" si="4"/>
        <v> </v>
      </c>
      <c r="L138" s="40" t="str">
        <f t="shared" si="4"/>
        <v> </v>
      </c>
      <c r="M138" s="40" t="str">
        <f t="shared" si="4"/>
        <v> </v>
      </c>
    </row>
    <row r="139" spans="5:6" s="12" customFormat="1" ht="19.5" customHeight="1">
      <c r="E139" s="17"/>
      <c r="F139" s="17"/>
    </row>
    <row r="140" spans="2:6" s="12" customFormat="1" ht="19.5" customHeight="1">
      <c r="B140" s="12" t="s">
        <v>74</v>
      </c>
      <c r="E140" s="26">
        <f>E79</f>
        <v>0.06</v>
      </c>
      <c r="F140" s="17"/>
    </row>
    <row r="141" spans="2:6" s="12" customFormat="1" ht="19.5" customHeight="1">
      <c r="B141" s="12" t="s">
        <v>75</v>
      </c>
      <c r="E141" s="21">
        <f>N137</f>
        <v>3247.3771235827794</v>
      </c>
      <c r="F141" s="17"/>
    </row>
    <row r="142" spans="2:6" s="12" customFormat="1" ht="19.5" customHeight="1">
      <c r="B142" s="12" t="s">
        <v>76</v>
      </c>
      <c r="E142" s="26">
        <f>IF(E82="No",D53+D52*D54,D53+E83*D54)</f>
        <v>0.097</v>
      </c>
      <c r="F142" s="17"/>
    </row>
    <row r="143" spans="2:6" s="12" customFormat="1" ht="19.5" customHeight="1">
      <c r="B143" s="12" t="s">
        <v>77</v>
      </c>
      <c r="E143" s="26">
        <f>IF(F45="Yes",1-F46,D107)</f>
        <v>0.9855985496111194</v>
      </c>
      <c r="F143" s="17"/>
    </row>
    <row r="144" spans="2:6" s="12" customFormat="1" ht="19.5" customHeight="1">
      <c r="B144" s="12" t="s">
        <v>78</v>
      </c>
      <c r="E144" s="26">
        <f>IF(E85="Yes",E86*(1-D24),D108)</f>
        <v>0.039330500000000004</v>
      </c>
      <c r="F144" s="17"/>
    </row>
    <row r="145" spans="2:6" s="12" customFormat="1" ht="19.5" customHeight="1">
      <c r="B145" s="12" t="s">
        <v>79</v>
      </c>
      <c r="E145" s="26">
        <f>1-E143</f>
        <v>0.014401450388880632</v>
      </c>
      <c r="F145" s="17"/>
    </row>
    <row r="146" spans="2:6" s="12" customFormat="1" ht="19.5" customHeight="1">
      <c r="B146" s="12" t="s">
        <v>80</v>
      </c>
      <c r="E146" s="26">
        <f>E142*E143+E144*E145</f>
        <v>0.09616947555679844</v>
      </c>
      <c r="F146" s="17"/>
    </row>
    <row r="147" spans="2:6" s="15" customFormat="1" ht="19.5" customHeight="1">
      <c r="B147" s="15" t="s">
        <v>81</v>
      </c>
      <c r="E147" s="41">
        <f>E141/(E146-E140)</f>
        <v>89782.25626974565</v>
      </c>
      <c r="F147" s="30"/>
    </row>
    <row r="148" spans="5:6" s="12" customFormat="1" ht="19.5" customHeight="1">
      <c r="E148" s="17"/>
      <c r="F148" s="17"/>
    </row>
    <row r="149" spans="2:6" s="12" customFormat="1" ht="19.5" customHeight="1">
      <c r="B149" s="15" t="s">
        <v>0</v>
      </c>
      <c r="C149" s="15"/>
      <c r="D149" s="15"/>
      <c r="E149" s="30"/>
      <c r="F149" s="41">
        <f>SUM(D138:M138)</f>
        <v>12446.561771589957</v>
      </c>
    </row>
    <row r="150" spans="2:6" s="12" customFormat="1" ht="19.5" customHeight="1">
      <c r="B150" s="15" t="s">
        <v>1</v>
      </c>
      <c r="C150" s="15"/>
      <c r="D150" s="15"/>
      <c r="E150" s="30"/>
      <c r="F150" s="41">
        <f>E147/(1+D110)^E43</f>
        <v>56728.59056202633</v>
      </c>
    </row>
    <row r="151" spans="2:6" s="12" customFormat="1" ht="19.5" customHeight="1">
      <c r="B151" s="15" t="s">
        <v>2</v>
      </c>
      <c r="C151" s="15"/>
      <c r="D151" s="15"/>
      <c r="E151" s="30"/>
      <c r="F151" s="41">
        <f>F149+F150</f>
        <v>69175.15233361628</v>
      </c>
    </row>
    <row r="152" spans="2:6" s="12" customFormat="1" ht="19.5" customHeight="1">
      <c r="B152" s="15" t="s">
        <v>22</v>
      </c>
      <c r="C152" s="15"/>
      <c r="D152" s="15"/>
      <c r="E152" s="30"/>
      <c r="F152" s="41">
        <f>D28</f>
        <v>500</v>
      </c>
    </row>
    <row r="153" spans="2:6" s="12" customFormat="1" ht="19.5" customHeight="1">
      <c r="B153" s="15" t="s">
        <v>3</v>
      </c>
      <c r="C153" s="15"/>
      <c r="D153" s="15"/>
      <c r="E153" s="30"/>
      <c r="F153" s="41">
        <f>F38</f>
        <v>1822</v>
      </c>
    </row>
    <row r="154" spans="2:6" s="12" customFormat="1" ht="19.5" customHeight="1">
      <c r="B154" s="15" t="s">
        <v>4</v>
      </c>
      <c r="C154" s="15"/>
      <c r="D154" s="15"/>
      <c r="E154" s="30"/>
      <c r="F154" s="41">
        <f>F151+F152-F153</f>
        <v>67853.15233361628</v>
      </c>
    </row>
    <row r="155" spans="2:6" s="12" customFormat="1" ht="19.5" customHeight="1">
      <c r="B155" s="15" t="s">
        <v>24</v>
      </c>
      <c r="C155" s="15"/>
      <c r="D155" s="15"/>
      <c r="E155" s="30"/>
      <c r="F155" s="42">
        <f>D29</f>
        <v>1500</v>
      </c>
    </row>
    <row r="156" spans="2:6" s="12" customFormat="1" ht="19.5" customHeight="1">
      <c r="B156" s="15" t="s">
        <v>5</v>
      </c>
      <c r="C156" s="15"/>
      <c r="D156" s="15"/>
      <c r="E156" s="30"/>
      <c r="F156" s="42">
        <f>(F154-F155)/F37</f>
        <v>66.78256422156092</v>
      </c>
    </row>
    <row r="157" spans="2:7" ht="19.5" customHeight="1">
      <c r="B157" s="10"/>
      <c r="C157" s="10"/>
      <c r="D157" s="10"/>
      <c r="E157" s="11"/>
      <c r="F157" s="11"/>
      <c r="G157" s="10"/>
    </row>
  </sheetData>
  <mergeCells count="1">
    <mergeCell ref="A5:H5"/>
  </mergeCells>
  <printOptions/>
  <pageMargins left="0.75" right="0.75" top="1" bottom="1" header="0.5" footer="0.5"/>
  <pageSetup orientation="portrait"/>
  <headerFooter alignWithMargins="0">
    <oddHeader>&amp;C Two-Stage FCFF Discount Model</oddHeader>
    <oddFooter>&amp;CPage &amp;p</oddFooter>
  </headerFooter>
  <rowBreaks count="4" manualBreakCount="4">
    <brk id="19" max="65535" man="1"/>
    <brk id="104" max="65535" man="1"/>
    <brk id="109" max="65535" man="1"/>
    <brk id="112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Aswath Damodaran</cp:lastModifiedBy>
  <cp:category/>
  <cp:version/>
  <cp:contentType/>
  <cp:contentStatus/>
</cp:coreProperties>
</file>